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23" activeTab="0"/>
  </bookViews>
  <sheets>
    <sheet name="Приложение 1" sheetId="1" r:id="rId1"/>
    <sheet name="III" sheetId="2" r:id="rId2"/>
    <sheet name="У.Е." sheetId="3" state="hidden" r:id="rId3"/>
    <sheet name="У.Е.новые" sheetId="4" state="hidden" r:id="rId4"/>
    <sheet name="У.Е.отправлен" sheetId="5" state="hidden" r:id="rId5"/>
  </sheets>
  <externalReferences>
    <externalReference r:id="rId8"/>
  </externalReferences>
  <definedNames>
    <definedName name="rng_actions_01">'[1]TEHSHEET'!$X$3:$X$110</definedName>
    <definedName name="TABLE" localSheetId="1">'III'!$A$7:$F$43</definedName>
    <definedName name="TABLE" localSheetId="0">'Приложение 1'!$A$26:$F$61</definedName>
    <definedName name="_xlnm.Print_Titles" localSheetId="1">'III'!$7:$8</definedName>
    <definedName name="_xlnm.Print_Titles" localSheetId="0">'Приложение 1'!$26:$26</definedName>
    <definedName name="_xlnm.Print_Area" localSheetId="1">'III'!$A$1:$I$43</definedName>
  </definedNames>
  <calcPr fullCalcOnLoad="1"/>
</workbook>
</file>

<file path=xl/sharedStrings.xml><?xml version="1.0" encoding="utf-8"?>
<sst xmlns="http://schemas.openxmlformats.org/spreadsheetml/2006/main" count="804" uniqueCount="310">
  <si>
    <t>Приложение N 1</t>
  </si>
  <si>
    <t>к стандартам раскрытия информации</t>
  </si>
  <si>
    <t>субъектами оптового и розничных</t>
  </si>
  <si>
    <t>рынков электрической энергии,</t>
  </si>
  <si>
    <t>Самохин С.М.</t>
  </si>
  <si>
    <t>Таблица № 3</t>
  </si>
  <si>
    <t>Электросчетчики однофазные (бытовые)</t>
  </si>
  <si>
    <t>Электросчетчики трехфазные</t>
  </si>
  <si>
    <t>кол-во у.е./100 км, шт.</t>
  </si>
  <si>
    <t>км/ шт.</t>
  </si>
  <si>
    <t>6.</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</si>
  <si>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</si>
  <si>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</si>
  <si>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</si>
  <si>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</si>
  <si>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3.2.</t>
  </si>
  <si>
    <r>
      <t xml:space="preserve">Расчетный объем услуг в части обеспечения надежности </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</si>
  <si>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</si>
  <si>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</si>
  <si>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</si>
  <si>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</si>
  <si>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</si>
  <si>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</si>
  <si>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</si>
  <si>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</si>
  <si>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</si>
  <si>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</si>
  <si>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</si>
  <si>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</si>
  <si>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</si>
  <si>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</si>
  <si>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</si>
  <si>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</si>
  <si>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</si>
  <si>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</si>
  <si>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</si>
  <si>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</si>
  <si>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</si>
  <si>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</si>
  <si>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</si>
  <si>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</si>
  <si>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</si>
  <si>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</si>
  <si>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t>
  </si>
  <si>
    <r>
      <t xml:space="preserve">Объем условных единиц </t>
    </r>
    <r>
      <rPr>
        <vertAlign val="superscript"/>
        <sz val="12"/>
        <rFont val="Times New Roman"/>
        <family val="1"/>
      </rPr>
      <t>3</t>
    </r>
  </si>
  <si>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</si>
  <si>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</si>
  <si>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</si>
  <si>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</si>
  <si>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</si>
  <si>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</si>
  <si>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</si>
  <si>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</si>
  <si>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</si>
  <si>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</si>
  <si>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</si>
  <si>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</si>
  <si>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</si>
  <si>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</si>
  <si>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</si>
  <si>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Единица изменения</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</si>
  <si>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</si>
  <si>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</si>
  <si>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ставка на содержание сетей</t>
  </si>
  <si>
    <t>ставка на оплату технологического расхода (потерь)</t>
  </si>
  <si>
    <t>одноставочный тариф</t>
  </si>
  <si>
    <t>Для гарантирующих поставщиков</t>
  </si>
  <si>
    <t>от 670 кВт до 10 МВт</t>
  </si>
  <si>
    <t>не менее 10 МВт</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</si>
  <si>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</si>
  <si>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</si>
  <si>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</si>
  <si>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</si>
  <si>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</si>
  <si>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</si>
  <si>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</si>
  <si>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</si>
  <si>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</si>
  <si>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</si>
  <si>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</si>
  <si>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</si>
  <si>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</si>
  <si>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</si>
  <si>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</si>
  <si>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</si>
  <si>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</si>
  <si>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</si>
  <si>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</si>
  <si>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</si>
  <si>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</si>
  <si>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вода</t>
  </si>
  <si>
    <t>пар</t>
  </si>
  <si>
    <t>№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</si>
  <si>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</si>
  <si>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</si>
  <si>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</si>
  <si>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</si>
  <si>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</si>
  <si>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</si>
  <si>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Чистая прибыль (убыток)</t>
  </si>
  <si>
    <t>Показатели рентабельности организации</t>
  </si>
  <si>
    <t>1.1.</t>
  </si>
  <si>
    <t>1.2.</t>
  </si>
  <si>
    <t>1.3.</t>
  </si>
  <si>
    <t>1.4.</t>
  </si>
  <si>
    <t>2.1.</t>
  </si>
  <si>
    <t>ВЛЭП</t>
  </si>
  <si>
    <t>Единица измерения</t>
  </si>
  <si>
    <t>у.е.</t>
  </si>
  <si>
    <t>Директор</t>
  </si>
  <si>
    <t>1.</t>
  </si>
  <si>
    <t>2.</t>
  </si>
  <si>
    <t>3.</t>
  </si>
  <si>
    <t>4.</t>
  </si>
  <si>
    <t>5.</t>
  </si>
  <si>
    <t>человек</t>
  </si>
  <si>
    <t>4.1.</t>
  </si>
  <si>
    <t>ж/бетон, метал</t>
  </si>
  <si>
    <t>1-20</t>
  </si>
  <si>
    <t>итого</t>
  </si>
  <si>
    <t>материал опор</t>
  </si>
  <si>
    <t>кол-во цепей на опоре</t>
  </si>
  <si>
    <t>Напряжение, кВ</t>
  </si>
  <si>
    <t>Объект</t>
  </si>
  <si>
    <t>Примечание</t>
  </si>
  <si>
    <t>Выключатель нагрузки</t>
  </si>
  <si>
    <t>Однотрансформаторная ТП, КТП</t>
  </si>
  <si>
    <t>Двухтрансформаторная ТП, КТП</t>
  </si>
  <si>
    <t>до 1</t>
  </si>
  <si>
    <t>КЛЭП</t>
  </si>
  <si>
    <t>инвест программа</t>
  </si>
  <si>
    <t>тех присоединение</t>
  </si>
  <si>
    <t>источник финансирования</t>
  </si>
  <si>
    <t>прочие</t>
  </si>
  <si>
    <t>3-10</t>
  </si>
  <si>
    <t>Силовой трансформатор</t>
  </si>
  <si>
    <t>Воздушные выключатели</t>
  </si>
  <si>
    <t>Мачтовая (столбовая) ТП</t>
  </si>
  <si>
    <t>ИТОГО :</t>
  </si>
  <si>
    <t>Расчет условных единиц ООО "ТЭСК" на 2020 год</t>
  </si>
  <si>
    <t>ОС, введенные в эксплуатацию в 2018 году</t>
  </si>
  <si>
    <t>7.</t>
  </si>
  <si>
    <t>НН</t>
  </si>
  <si>
    <t>ИТОГО УВЕЛИЧЕНИЕ ЗА 2018 год:</t>
  </si>
  <si>
    <t>утверждено на 2018 год:</t>
  </si>
  <si>
    <t>сн</t>
  </si>
  <si>
    <t>нн</t>
  </si>
  <si>
    <t>в т.ч</t>
  </si>
  <si>
    <t xml:space="preserve">Для коммерческого оператора </t>
  </si>
  <si>
    <t>величина сбытовой надбавки для  населения и приравненных к нему категорий потребителей</t>
  </si>
  <si>
    <t>величина сбытовой надбавки для прочих потребителей:</t>
  </si>
  <si>
    <t>менее 670 кВт</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</si>
  <si>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</si>
  <si>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</si>
  <si>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r>
      <t xml:space="preserve">Расходы, связанные с производством и реализацией товаров, работ и услуг  </t>
    </r>
    <r>
      <rPr>
        <vertAlign val="superscript"/>
        <sz val="12"/>
        <rFont val="Times New Roman"/>
        <family val="1"/>
      </rPr>
      <t>2, 4,</t>
    </r>
    <r>
      <rPr>
        <sz val="12"/>
        <rFont val="Times New Roman"/>
        <family val="1"/>
      </rPr>
      <t xml:space="preserve"> операционные (подконтрольные)  расходы 3 - всего</t>
    </r>
  </si>
  <si>
    <r>
      <t xml:space="preserve">Расходы, за исключением указанных в позиции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</si>
  <si>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4.6.</t>
  </si>
  <si>
    <r>
      <t xml:space="preserve">Операционные (подконтрольные)  расходы на условную единицу </t>
    </r>
    <r>
      <rPr>
        <vertAlign val="superscript"/>
        <sz val="12"/>
        <rFont val="Times New Roman"/>
        <family val="1"/>
      </rPr>
      <t>3</t>
    </r>
  </si>
  <si>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</si>
  <si>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</si>
  <si>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</si>
  <si>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</si>
  <si>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</si>
  <si>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</si>
  <si>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</si>
  <si>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</si>
  <si>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</si>
  <si>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</si>
  <si>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(в ред.Постановления Правительства РФ от 30.01.2019 № 64)</t>
  </si>
  <si>
    <t>I.Информация об организации</t>
  </si>
  <si>
    <t>II.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</si>
  <si>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II. Основные показатели деятельности организаций</t>
  </si>
  <si>
    <t>Уровень потерь электирической энергии  3</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</si>
  <si>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</si>
  <si>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</si>
  <si>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величина сбытовой надбавки для сетевых организаций, покупающих электрическую энергию для компенсации потерь электрической энергии</t>
  </si>
  <si>
    <t>рублей/Гкал</t>
  </si>
  <si>
    <t>рублей/Гкал/ч в месяц</t>
  </si>
  <si>
    <t>рублей/куб. метра</t>
  </si>
  <si>
    <t>(полное и сокращенное наименование юридического лица)</t>
  </si>
  <si>
    <t>(форма)</t>
  </si>
  <si>
    <t xml:space="preserve"> III. Цены (тарифы) по регулируемым видам деятельности организации</t>
  </si>
  <si>
    <t>первое полу-  годие</t>
  </si>
  <si>
    <t>второе полу-  годие</t>
  </si>
  <si>
    <t>рублей/МВт в месяц</t>
  </si>
  <si>
    <t>Для организаций, относящихся к субъектам естественных монополий:</t>
  </si>
  <si>
    <t xml:space="preserve"> услуги по оперативно-диспетчерскому управлению в электроэнергетике:</t>
  </si>
  <si>
    <t>рублей/МВт ч</t>
  </si>
  <si>
    <t>рублей/тыс.кВт ч</t>
  </si>
  <si>
    <t>Воздушные линии электропередач, кабельные линии электропередач, трансформаторные подстанции, распределительные пункты</t>
  </si>
  <si>
    <t xml:space="preserve">№ </t>
  </si>
  <si>
    <t xml:space="preserve">Наименование </t>
  </si>
  <si>
    <t>Протяженность ВЛЭП 6/04 кВ в км</t>
  </si>
  <si>
    <t>Длина КЛЭП в км</t>
  </si>
  <si>
    <t>Оборудование ТП и РП</t>
  </si>
  <si>
    <t>ТП и РП</t>
  </si>
  <si>
    <t>п/п</t>
  </si>
  <si>
    <t>подстанций</t>
  </si>
  <si>
    <t>U = 6 кВ</t>
  </si>
  <si>
    <t>U = 0,4 кВ</t>
  </si>
  <si>
    <t>Выкл.</t>
  </si>
  <si>
    <t>Мачтовая</t>
  </si>
  <si>
    <t>1 транс</t>
  </si>
  <si>
    <t>2 транс</t>
  </si>
  <si>
    <t>ж/б</t>
  </si>
  <si>
    <t xml:space="preserve">дерево </t>
  </si>
  <si>
    <t>дерево</t>
  </si>
  <si>
    <t>Масленные</t>
  </si>
  <si>
    <t xml:space="preserve">Нагрузки </t>
  </si>
  <si>
    <t>ТП</t>
  </si>
  <si>
    <t>опоры</t>
  </si>
  <si>
    <t xml:space="preserve">с ж/б </t>
  </si>
  <si>
    <t>(МВ)</t>
  </si>
  <si>
    <t>(ВН)</t>
  </si>
  <si>
    <t xml:space="preserve"> п/с Падь Широкая   220/110/35/6</t>
  </si>
  <si>
    <t xml:space="preserve"> п/с Находка                 110/35/6</t>
  </si>
  <si>
    <t xml:space="preserve">п/с Екатериновка           110/35/6      </t>
  </si>
  <si>
    <t>п/с Угольная                 110/35/6</t>
  </si>
  <si>
    <t>п/с Восточная тяговая    110/27/10</t>
  </si>
  <si>
    <t>п/с Голубовка                  110/6</t>
  </si>
  <si>
    <t>п/с НСРЗ                         110/6</t>
  </si>
  <si>
    <t>п/с Учебная                     110/6</t>
  </si>
  <si>
    <t>п/с ЖБФ                          110/6</t>
  </si>
  <si>
    <t>Итого по ВН</t>
  </si>
  <si>
    <t>п/с Рыбники                      35/6</t>
  </si>
  <si>
    <t>п/с Бархатная                     35/6</t>
  </si>
  <si>
    <t>п/с Соленное Озеро            35/6</t>
  </si>
  <si>
    <t>п/с Парус                          35/6</t>
  </si>
  <si>
    <t>п/с Торговый порт             35/6</t>
  </si>
  <si>
    <t>п/с БАМР                         35/6</t>
  </si>
  <si>
    <t>п/с Микрорайон                   35/6</t>
  </si>
  <si>
    <t>п/с Морская                        35/6</t>
  </si>
  <si>
    <t>п/с Гайдомак                       35/6</t>
  </si>
  <si>
    <t>п/с Связь Ф3                        35/6</t>
  </si>
  <si>
    <t>Итого по СН</t>
  </si>
  <si>
    <t>Наименование оборудования</t>
  </si>
  <si>
    <t>ед</t>
  </si>
  <si>
    <t>Количество объектов</t>
  </si>
  <si>
    <t>условная</t>
  </si>
  <si>
    <t>Количество УЕ</t>
  </si>
  <si>
    <t>Всего</t>
  </si>
  <si>
    <t>изм</t>
  </si>
  <si>
    <t>СН</t>
  </si>
  <si>
    <t>единица</t>
  </si>
  <si>
    <t>1.Воздушные линии электропередач U=1-20кВ</t>
  </si>
  <si>
    <t>100 км</t>
  </si>
  <si>
    <t>1.1 Деревянные опры на ж/б пасынках</t>
  </si>
  <si>
    <t>1.2. Железобетонные опоры</t>
  </si>
  <si>
    <t>2. Воздушные линии электропередач U=0,4кВ</t>
  </si>
  <si>
    <t>2.1.Деревянные опоры</t>
  </si>
  <si>
    <t>2.2 Деревянные опры на ж/б пасынках</t>
  </si>
  <si>
    <t>2.3. Железобетонные опоры</t>
  </si>
  <si>
    <t>Всего по ВЛЭП</t>
  </si>
  <si>
    <t>1.Кабельная линия электропередач U=3-10кВ</t>
  </si>
  <si>
    <t>2.Кабельная линия электропередач U=до 1кВ</t>
  </si>
  <si>
    <t>Всего КЛЭП</t>
  </si>
  <si>
    <t>Оборудование ТП и РП U=0,4-20кВ</t>
  </si>
  <si>
    <t>1.Масленный выключатель 3-х фазный</t>
  </si>
  <si>
    <t>шт.</t>
  </si>
  <si>
    <t>2.Выключатель нагрузки</t>
  </si>
  <si>
    <t>3.Синхронный конденсатор мощностью 50Мвар</t>
  </si>
  <si>
    <t>4.Мачтовая ТП (солбовая)</t>
  </si>
  <si>
    <t>5.Однотрансформаторная ТП, КТП</t>
  </si>
  <si>
    <t>6.Двухтрансформаторная ТП, КТП</t>
  </si>
  <si>
    <t>Всего по оборудованию ТП и РП</t>
  </si>
  <si>
    <t>ИТОГО  по ВЛЭП, КЛЭП, ТП и РП</t>
  </si>
  <si>
    <t xml:space="preserve">Воздушные линии электропередач, кабельные линии электропередач, трансформаторные подстанции, распределительные пункты, </t>
  </si>
  <si>
    <t>Всего условных единиц</t>
  </si>
  <si>
    <t>Примечание:</t>
  </si>
  <si>
    <t>1. Расчет условных единиц по ВЛЭП, КЛЭП, ТП и РП рассчитан в соответствии с приложением 2 приказа Федеральной службы по тарифам от 06.08.2004г № 20-э/2 "Об утверждении методических указаний по расчету регулируемых тарифов и цен на электрическую (тепловую) энергию на рознично (потребительском) рынке"</t>
  </si>
  <si>
    <t>2. Расчет условных единиц по обслуживаемым приборам учета выполнен  в соответствии с Приложением № 2 , таблицы № 6 Приказа Министерства энергетики и электрификации СССР от 26 января 1987г № 151 «Об утверждении показателей для отнесения производственных объединений, предприятий и организаций электроэнергетической промышленности и их структурных подразделений к группам по оплате труда руководителей»</t>
  </si>
  <si>
    <t>Директор                                                                                            С.М. Самохин</t>
  </si>
  <si>
    <t>Расчет размера активов ООО "ТЭСК" на 2020 г. 
участвующих в осуществлении деятельности на услуги по передаче электрической энергии, 
в системе условных единиц</t>
  </si>
  <si>
    <t>введенные в рамках Инвест программы в 2018 году согласно Приказа Департамента Энергетики ПК от 26.04.2017 № 45пр-19</t>
  </si>
  <si>
    <t>тех.прис хоз.способ</t>
  </si>
  <si>
    <t>1.3. Железобетонные опоры</t>
  </si>
  <si>
    <t>2.4. Железобетонные опоры</t>
  </si>
  <si>
    <t>2.Кабельная линия электропередач U=3-10кВ</t>
  </si>
  <si>
    <t>3.Кабельная линия электропередач U=до 1кВ</t>
  </si>
  <si>
    <t>4.Кабельная линия электропередач U=до 1кВ</t>
  </si>
  <si>
    <t>4.Силовой транформатор</t>
  </si>
  <si>
    <t>5.Мачтовая ТП (солбовая)</t>
  </si>
  <si>
    <t>6.Однотрансформаторная ТП, КТП</t>
  </si>
  <si>
    <t>7.Однотрансформаторная ТП, КТП</t>
  </si>
  <si>
    <t>8.Двухтрансформаторная ТП, КТП</t>
  </si>
  <si>
    <t>договор 012/С-2019</t>
  </si>
  <si>
    <t>введенные в рамках договоров № 013/С-2019,№012/С-2019</t>
  </si>
  <si>
    <t>договор 013/С-2019</t>
  </si>
  <si>
    <t>договор 012/С-2019,договор 013/С-2019</t>
  </si>
  <si>
    <t>Трансформаторные подстанции, распределительные пункты, введенные по договору аренды № б/н от 01 июля 2017 г. ( ИП Султанова Л.У.)</t>
  </si>
  <si>
    <t>ВН</t>
  </si>
  <si>
    <t>введенные в 2019 году</t>
  </si>
  <si>
    <t>3.Кабельная линия электропередач U=3-10кВ</t>
  </si>
  <si>
    <t>7.Двухтрансформаторная ТП, КТП</t>
  </si>
  <si>
    <t xml:space="preserve">Общества с ограниченной ответственностью   "Артемовская электросетевая компания" (ООО "АЭСК")                                                                           </t>
  </si>
  <si>
    <t>Общество с ограниченной ответственностью  "Артемовская электросетевая компания"</t>
  </si>
  <si>
    <t>ООО "АЭСК"</t>
  </si>
  <si>
    <t>692760, Приморский край, г. Артем, ул. Фрунзе, 15/1</t>
  </si>
  <si>
    <t xml:space="preserve">aesk-artem@yandex.ru </t>
  </si>
  <si>
    <t>8 (42337) 4-25-97</t>
  </si>
  <si>
    <t>Утверждена Приказом Департамента энергетики Приморского края № 45пр-38 от 08.08.2016 г., № 45пр-57 от 30.04.2019 г.</t>
  </si>
  <si>
    <t>Ковалевский Сергей Юрьевич</t>
  </si>
  <si>
    <t>ПРЕДЛОЖЕНИЕ                                                                                                                                                                                                                        о размере цен (тарифов), долгосрочных параметров регулирования  (вид цены (тарифа) на 2022 год                                                                                                                                              (расчетный период регулирования)</t>
  </si>
  <si>
    <t>127006, г. Москва, ул. Тверская, 18 / корп 1, этаж 5 помещ. 520а</t>
  </si>
  <si>
    <t>Фактические показатели 
за год, предшествующий базовому периоду            (2020 г.)</t>
  </si>
  <si>
    <r>
      <t xml:space="preserve">Показатели, утвержденные 
на базовый период                            (2021 г.)  </t>
    </r>
    <r>
      <rPr>
        <vertAlign val="superscript"/>
        <sz val="12"/>
        <rFont val="Times New Roman"/>
        <family val="1"/>
      </rPr>
      <t xml:space="preserve">1 </t>
    </r>
  </si>
  <si>
    <t>Предложения 
на расчетный период регулирования (2022 г.)</t>
  </si>
  <si>
    <t>Фактические показатели за год, предшествующий базовому периоду (2020 год)</t>
  </si>
  <si>
    <t>Показатели, утвержденные на базовый период (2021 год)</t>
  </si>
  <si>
    <t>Предложения на расчетный период регулирования           (2022 г.)</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</si>
</sst>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
    <numFmt numFmtId="179" formatCode="0.000"/>
    <numFmt numFmtId="180" formatCode="#,##0.0"/>
    <numFmt numFmtId="181" formatCode="#,##0.000"/>
    <numFmt numFmtId="182" formatCode="#,##0.0000"/>
    <numFmt numFmtId="183" formatCode="#,##0.00000"/>
    <numFmt numFmtId="184" formatCode="[$-F419]yyyy\,\ mmmm;@"/>
    <numFmt numFmtId="185" formatCode="0.0%"/>
    <numFmt numFmtId="186" formatCode="#,##0.00_ ;[Red]\-#,##0.00\ "/>
    <numFmt numFmtId="187" formatCode="0.00;[Red]\-0.00"/>
    <numFmt numFmtId="188" formatCode="0.00_ ;[Red]\-0.00\ "/>
    <numFmt numFmtId="189" formatCode="_([$€]* #,##0.00_);_([$€]* \(#,##0.00\);_([$€]* &quot;-&quot;??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
    <numFmt numFmtId="195" formatCode="0.0"/>
    <numFmt numFmtId="196" formatCode="#,##0.00_р_."/>
    <numFmt numFmtId="197" formatCode="_-* #,##0_р_._-;\-* #,##0_р_._-;_-* &quot;-&quot;??_р_._-;_-@_-"/>
    <numFmt numFmtId="198" formatCode="#,##0.00_ ;\-#,##0.00\ "/>
    <numFmt numFmtId="199" formatCode="0.0000%"/>
    <numFmt numFmtId="200" formatCode="0.000%"/>
    <numFmt numFmtId="201" formatCode="mmm/yyyy"/>
    <numFmt numFmtId="202" formatCode="[$-FC19]d\ mmmm\ yyyy\ &quot;г.&quot;"/>
    <numFmt numFmtId="203" formatCode="#,##0.000;[Red]\-#,##0.000"/>
    <numFmt numFmtId="204" formatCode="#,##0.0000;[Red]\-#,##0.0000"/>
    <numFmt numFmtId="205" formatCode="#,##0.00000000000"/>
    <numFmt numFmtId="206" formatCode="#,##0.000000000_ ;\-#,##0.000000000\ "/>
    <numFmt numFmtId="207" formatCode="0.0000"/>
    <numFmt numFmtId="208" formatCode="#,##0_ ;[Red]\-#,##0\ "/>
    <numFmt numFmtId="209" formatCode="#,##0.000000"/>
    <numFmt numFmtId="210" formatCode="0.0000000"/>
    <numFmt numFmtId="211" formatCode="_-* #,##0.000\ _₽_-;\-* #,##0.000\ _₽_-;_-* &quot;-&quot;???\ _₽_-;_-@_-"/>
    <numFmt numFmtId="212" formatCode="0.00000000"/>
  </numFmts>
  <fonts count="54">
    <font>
      <sz val="10"/>
      <name val="Arial"/>
      <family val="0"/>
    </font>
    <font>
      <b/>
      <sz val="12"/>
      <name val="Times New Roman"/>
      <family val="1"/>
    </font>
    <font>
      <sz val="12"/>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vertAlign val="superscript"/>
      <sz val="10"/>
      <name val="Times New Roman"/>
      <family val="1"/>
    </font>
    <font>
      <b/>
      <sz val="10"/>
      <name val="Times New Roman"/>
      <family val="1"/>
    </font>
    <font>
      <sz val="10"/>
      <color indexed="8"/>
      <name val="Times New Roman"/>
      <family val="1"/>
    </font>
    <font>
      <sz val="11"/>
      <color indexed="8"/>
      <name val="Times New Roman"/>
      <family val="1"/>
    </font>
    <font>
      <sz val="11"/>
      <name val="Times New Roman"/>
      <family val="1"/>
    </font>
    <font>
      <u val="single"/>
      <sz val="10"/>
      <color indexed="12"/>
      <name val="Arial Cyr"/>
      <family val="0"/>
    </font>
    <font>
      <u val="single"/>
      <sz val="10"/>
      <color indexed="36"/>
      <name val="Arial Cyr"/>
      <family val="0"/>
    </font>
    <font>
      <b/>
      <sz val="10"/>
      <color indexed="8"/>
      <name val="Times New Roman"/>
      <family val="1"/>
    </font>
    <font>
      <b/>
      <sz val="14"/>
      <name val="Franklin Gothic Medium"/>
      <family val="2"/>
    </font>
    <font>
      <b/>
      <sz val="9"/>
      <name val="Tahoma"/>
      <family val="2"/>
    </font>
    <font>
      <sz val="9"/>
      <name val="Tahoma"/>
      <family val="2"/>
    </font>
    <font>
      <sz val="8"/>
      <name val="Arial"/>
      <family val="2"/>
    </font>
    <font>
      <u val="single"/>
      <sz val="12"/>
      <color indexed="12"/>
      <name val="Times New Roman"/>
      <family val="2"/>
    </font>
    <font>
      <vertAlign val="superscript"/>
      <sz val="12"/>
      <name val="Times New Roman"/>
      <family val="1"/>
    </font>
    <font>
      <sz val="10"/>
      <color indexed="9"/>
      <name val="Times New Roman"/>
      <family val="1"/>
    </font>
    <font>
      <vertAlign val="superscript"/>
      <sz val="11"/>
      <color indexed="8"/>
      <name val="Times New Roman"/>
      <family val="1"/>
    </font>
    <font>
      <sz val="12"/>
      <color indexed="10"/>
      <name val="Times New Roman"/>
      <family val="1"/>
    </font>
    <font>
      <sz val="12"/>
      <color indexed="8"/>
      <name val="Times New Roman"/>
      <family val="1"/>
    </font>
    <font>
      <b/>
      <sz val="14"/>
      <color indexed="8"/>
      <name val="Times New Roman"/>
      <family val="1"/>
    </font>
    <font>
      <b/>
      <u val="single"/>
      <sz val="11"/>
      <name val="Times New Roman"/>
      <family val="1"/>
    </font>
    <font>
      <sz val="14"/>
      <name val="Times New Roman"/>
      <family val="1"/>
    </font>
    <font>
      <i/>
      <sz val="14"/>
      <name val="Times New Roman"/>
      <family val="1"/>
    </font>
    <font>
      <sz val="12"/>
      <color indexed="8"/>
      <name val="Georgia"/>
      <family val="1"/>
    </font>
    <font>
      <b/>
      <sz val="11"/>
      <color indexed="8"/>
      <name val="Times New Roman"/>
      <family val="1"/>
    </font>
    <font>
      <u val="single"/>
      <sz val="12"/>
      <color theme="10"/>
      <name val="Times New Roman"/>
      <family val="2"/>
    </font>
    <font>
      <sz val="11"/>
      <color theme="1"/>
      <name val="Calibri"/>
      <family val="2"/>
    </font>
    <font>
      <sz val="12"/>
      <color theme="1"/>
      <name val="Times New Roman"/>
      <family val="2"/>
    </font>
    <font>
      <sz val="12"/>
      <color theme="1"/>
      <name val="Georgia"/>
      <family val="1"/>
    </font>
    <font>
      <sz val="11"/>
      <color theme="1"/>
      <name val="Times New Roman"/>
      <family val="1"/>
    </font>
    <font>
      <sz val="11"/>
      <color rgb="FF000000"/>
      <name val="Times New Roman"/>
      <family val="1"/>
    </font>
    <font>
      <b/>
      <sz val="11"/>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189"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47"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0" borderId="0" applyBorder="0">
      <alignment horizontal="center" vertical="center" wrapText="1"/>
      <protection/>
    </xf>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2" fillId="0" borderId="6" applyBorder="0">
      <alignment horizontal="center" vertical="center" wrapText="1"/>
      <protection/>
    </xf>
    <xf numFmtId="0" fontId="13" fillId="0" borderId="7" applyNumberFormat="0" applyFill="0" applyAlignment="0" applyProtection="0"/>
    <xf numFmtId="0" fontId="14" fillId="21" borderId="8"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9" fillId="0" borderId="0">
      <alignment/>
      <protection/>
    </xf>
    <xf numFmtId="0" fontId="9" fillId="0" borderId="0">
      <alignment/>
      <protection/>
    </xf>
    <xf numFmtId="0" fontId="9" fillId="0" borderId="0">
      <alignment/>
      <protection/>
    </xf>
    <xf numFmtId="49" fontId="33" fillId="0" borderId="0" applyBorder="0">
      <alignment vertical="top"/>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9" fillId="0" borderId="0">
      <alignment/>
      <protection/>
    </xf>
    <xf numFmtId="0" fontId="34" fillId="0" borderId="0">
      <alignment horizontal="lef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49" fillId="0" borderId="0">
      <alignment/>
      <protection/>
    </xf>
    <xf numFmtId="0" fontId="49" fillId="0" borderId="0">
      <alignment/>
      <protection/>
    </xf>
    <xf numFmtId="0" fontId="9" fillId="0" borderId="0">
      <alignment/>
      <protection/>
    </xf>
    <xf numFmtId="0" fontId="48" fillId="0" borderId="0">
      <alignment/>
      <protection/>
    </xf>
    <xf numFmtId="0" fontId="4"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3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9" fillId="0" borderId="0">
      <alignment/>
      <protection/>
    </xf>
    <xf numFmtId="0" fontId="9" fillId="0" borderId="0">
      <alignment/>
      <protection/>
    </xf>
    <xf numFmtId="0" fontId="9" fillId="0" borderId="0">
      <alignment/>
      <protection/>
    </xf>
    <xf numFmtId="0" fontId="9" fillId="0" borderId="0">
      <alignment/>
      <protection/>
    </xf>
    <xf numFmtId="0" fontId="4" fillId="0" borderId="0">
      <alignment/>
      <protection/>
    </xf>
    <xf numFmtId="0" fontId="9" fillId="0" borderId="0">
      <alignment/>
      <protection/>
    </xf>
    <xf numFmtId="0" fontId="29"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10" applyNumberFormat="0" applyFill="0" applyAlignment="0" applyProtection="0"/>
    <xf numFmtId="0" fontId="50" fillId="0" borderId="0">
      <alignment/>
      <protection/>
    </xf>
    <xf numFmtId="0" fontId="2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1" fontId="9" fillId="0" borderId="0" applyFont="0" applyFill="0" applyBorder="0" applyAlignment="0" applyProtection="0"/>
    <xf numFmtId="4" fontId="33" fillId="4" borderId="0" applyBorder="0">
      <alignment horizontal="right"/>
      <protection/>
    </xf>
    <xf numFmtId="0" fontId="21" fillId="4" borderId="0" applyNumberFormat="0" applyBorder="0" applyAlignment="0" applyProtection="0"/>
  </cellStyleXfs>
  <cellXfs count="253">
    <xf numFmtId="0" fontId="0" fillId="0" borderId="0" xfId="0" applyAlignment="1">
      <alignment/>
    </xf>
    <xf numFmtId="0" fontId="2" fillId="0" borderId="0" xfId="58" applyFont="1">
      <alignment/>
      <protection/>
    </xf>
    <xf numFmtId="0" fontId="2" fillId="0" borderId="11" xfId="58" applyFont="1" applyBorder="1" applyAlignment="1">
      <alignment horizontal="center" vertical="center" wrapText="1"/>
      <protection/>
    </xf>
    <xf numFmtId="0" fontId="2" fillId="0" borderId="11" xfId="58" applyFont="1" applyBorder="1" applyAlignment="1">
      <alignment horizontal="center" wrapText="1"/>
      <protection/>
    </xf>
    <xf numFmtId="0" fontId="2" fillId="0" borderId="0" xfId="58" applyFont="1" applyAlignment="1">
      <alignment horizontal="center" vertical="center" wrapText="1"/>
      <protection/>
    </xf>
    <xf numFmtId="0" fontId="2" fillId="0" borderId="11" xfId="58" applyFont="1" applyBorder="1" applyAlignment="1">
      <alignment horizontal="center" vertical="top" wrapText="1"/>
      <protection/>
    </xf>
    <xf numFmtId="0" fontId="2" fillId="0" borderId="11" xfId="58" applyFont="1" applyBorder="1" applyAlignment="1">
      <alignment horizontal="left" vertical="top" wrapText="1"/>
      <protection/>
    </xf>
    <xf numFmtId="0" fontId="2" fillId="0" borderId="0" xfId="58" applyFont="1" applyAlignment="1">
      <alignment vertical="top"/>
      <protection/>
    </xf>
    <xf numFmtId="0" fontId="2" fillId="0" borderId="0" xfId="58" applyFont="1" applyAlignment="1">
      <alignment/>
      <protection/>
    </xf>
    <xf numFmtId="0" fontId="37" fillId="0" borderId="0" xfId="58" applyFont="1">
      <alignment/>
      <protection/>
    </xf>
    <xf numFmtId="0" fontId="22" fillId="0" borderId="0" xfId="58" applyFont="1">
      <alignment/>
      <protection/>
    </xf>
    <xf numFmtId="0" fontId="26" fillId="0" borderId="11" xfId="109" applyFont="1" applyBorder="1" applyAlignment="1">
      <alignment horizontal="center" vertical="center" wrapText="1"/>
      <protection/>
    </xf>
    <xf numFmtId="0" fontId="27" fillId="0" borderId="0" xfId="58" applyFont="1" applyAlignment="1">
      <alignment horizontal="center" vertical="center" wrapText="1"/>
      <protection/>
    </xf>
    <xf numFmtId="0" fontId="27" fillId="0" borderId="0" xfId="58" applyFont="1" applyAlignment="1">
      <alignment vertical="top"/>
      <protection/>
    </xf>
    <xf numFmtId="0" fontId="26" fillId="0" borderId="11" xfId="109" applyFont="1" applyBorder="1" applyAlignment="1">
      <alignment horizontal="center" vertical="top" wrapText="1"/>
      <protection/>
    </xf>
    <xf numFmtId="0" fontId="26" fillId="0" borderId="11" xfId="109" applyFont="1" applyBorder="1" applyAlignment="1">
      <alignment horizontal="left" vertical="top" wrapText="1"/>
      <protection/>
    </xf>
    <xf numFmtId="0" fontId="9" fillId="0" borderId="0" xfId="58">
      <alignment/>
      <protection/>
    </xf>
    <xf numFmtId="0" fontId="9" fillId="0" borderId="0" xfId="58" applyBorder="1">
      <alignment/>
      <protection/>
    </xf>
    <xf numFmtId="0" fontId="26" fillId="0" borderId="0" xfId="0" applyFont="1" applyAlignment="1">
      <alignment/>
    </xf>
    <xf numFmtId="0" fontId="26" fillId="0" borderId="11" xfId="109" applyFont="1" applyBorder="1" applyAlignment="1">
      <alignment horizontal="center" vertical="center"/>
      <protection/>
    </xf>
    <xf numFmtId="0" fontId="2" fillId="0" borderId="0" xfId="58" applyFont="1" applyAlignment="1">
      <alignment horizontal="right"/>
      <protection/>
    </xf>
    <xf numFmtId="0" fontId="2" fillId="0" borderId="0" xfId="58" applyFont="1" applyAlignment="1">
      <alignment vertical="center"/>
      <protection/>
    </xf>
    <xf numFmtId="0" fontId="9" fillId="0" borderId="0" xfId="58" applyAlignment="1">
      <alignment vertical="center"/>
      <protection/>
    </xf>
    <xf numFmtId="0" fontId="9" fillId="0" borderId="0" xfId="58" applyBorder="1" applyAlignment="1">
      <alignment vertical="center"/>
      <protection/>
    </xf>
    <xf numFmtId="0" fontId="51" fillId="0" borderId="0" xfId="0" applyFont="1" applyAlignment="1">
      <alignment/>
    </xf>
    <xf numFmtId="0" fontId="51" fillId="0" borderId="11" xfId="0" applyFont="1" applyBorder="1" applyAlignment="1">
      <alignment/>
    </xf>
    <xf numFmtId="0" fontId="51" fillId="0" borderId="11" xfId="0" applyFont="1" applyBorder="1" applyAlignment="1">
      <alignment horizontal="center"/>
    </xf>
    <xf numFmtId="0" fontId="22" fillId="0" borderId="11" xfId="0" applyFont="1" applyFill="1" applyBorder="1" applyAlignment="1">
      <alignment horizontal="center"/>
    </xf>
    <xf numFmtId="0" fontId="22" fillId="0" borderId="0" xfId="0" applyFont="1" applyBorder="1" applyAlignment="1">
      <alignment/>
    </xf>
    <xf numFmtId="0" fontId="2" fillId="24" borderId="11" xfId="58" applyFont="1" applyFill="1" applyBorder="1" applyAlignment="1">
      <alignment horizontal="center" vertical="center" wrapText="1"/>
      <protection/>
    </xf>
    <xf numFmtId="4" fontId="2" fillId="24" borderId="11" xfId="58" applyNumberFormat="1" applyFont="1" applyFill="1" applyBorder="1" applyAlignment="1">
      <alignment horizontal="center" vertical="center"/>
      <protection/>
    </xf>
    <xf numFmtId="0" fontId="25" fillId="24" borderId="11" xfId="0" applyFont="1" applyFill="1" applyBorder="1" applyAlignment="1">
      <alignment horizontal="center" vertical="center"/>
    </xf>
    <xf numFmtId="4" fontId="2" fillId="24" borderId="11" xfId="58" applyNumberFormat="1" applyFont="1" applyFill="1" applyBorder="1" applyAlignment="1">
      <alignment horizontal="center" vertical="top"/>
      <protection/>
    </xf>
    <xf numFmtId="0" fontId="2" fillId="24" borderId="11" xfId="58" applyFont="1" applyFill="1" applyBorder="1" applyAlignment="1">
      <alignment horizontal="center" vertical="top"/>
      <protection/>
    </xf>
    <xf numFmtId="4" fontId="39" fillId="24" borderId="11" xfId="58" applyNumberFormat="1" applyFont="1" applyFill="1" applyBorder="1" applyAlignment="1">
      <alignment horizontal="center" vertical="top"/>
      <protection/>
    </xf>
    <xf numFmtId="4" fontId="26" fillId="24" borderId="11" xfId="109" applyNumberFormat="1" applyFont="1" applyFill="1" applyBorder="1" applyAlignment="1">
      <alignment horizontal="center" vertical="center"/>
      <protection/>
    </xf>
    <xf numFmtId="2" fontId="26" fillId="24" borderId="11" xfId="109" applyNumberFormat="1" applyFont="1" applyFill="1" applyBorder="1" applyAlignment="1">
      <alignment horizontal="center" vertical="center"/>
      <protection/>
    </xf>
    <xf numFmtId="0" fontId="26" fillId="24" borderId="11" xfId="109" applyFont="1" applyFill="1" applyBorder="1" applyAlignment="1">
      <alignment horizontal="center" vertical="center"/>
      <protection/>
    </xf>
    <xf numFmtId="2" fontId="2" fillId="24" borderId="11" xfId="58" applyNumberFormat="1" applyFont="1" applyFill="1" applyBorder="1" applyAlignment="1">
      <alignment horizontal="center" vertical="center"/>
      <protection/>
    </xf>
    <xf numFmtId="0" fontId="26" fillId="0" borderId="0" xfId="0" applyFont="1" applyAlignment="1">
      <alignment/>
    </xf>
    <xf numFmtId="0" fontId="22" fillId="0" borderId="0" xfId="58" applyFont="1" applyBorder="1">
      <alignment/>
      <protection/>
    </xf>
    <xf numFmtId="0" fontId="24" fillId="0" borderId="0" xfId="58" applyFont="1" applyBorder="1">
      <alignment/>
      <protection/>
    </xf>
    <xf numFmtId="179" fontId="22" fillId="0" borderId="0" xfId="58" applyNumberFormat="1" applyFont="1" applyBorder="1">
      <alignment/>
      <protection/>
    </xf>
    <xf numFmtId="0" fontId="2" fillId="0" borderId="0" xfId="110" applyFont="1" applyAlignment="1">
      <alignment horizontal="right"/>
      <protection/>
    </xf>
    <xf numFmtId="0" fontId="27" fillId="0" borderId="0" xfId="0" applyFont="1" applyAlignment="1">
      <alignment/>
    </xf>
    <xf numFmtId="0" fontId="24" fillId="24" borderId="11" xfId="58" applyFont="1" applyFill="1" applyBorder="1" applyAlignment="1">
      <alignment horizontal="center" vertical="center" wrapText="1"/>
      <protection/>
    </xf>
    <xf numFmtId="4" fontId="24" fillId="24" borderId="11" xfId="58" applyNumberFormat="1" applyFont="1" applyFill="1" applyBorder="1" applyAlignment="1">
      <alignment horizontal="center" vertical="center" wrapText="1"/>
      <protection/>
    </xf>
    <xf numFmtId="0" fontId="24" fillId="24" borderId="12" xfId="58" applyFont="1" applyFill="1" applyBorder="1" applyAlignment="1">
      <alignment horizontal="center" vertical="center"/>
      <protection/>
    </xf>
    <xf numFmtId="49" fontId="22" fillId="24" borderId="12" xfId="58" applyNumberFormat="1" applyFont="1" applyFill="1" applyBorder="1" applyAlignment="1">
      <alignment horizontal="center" vertical="center"/>
      <protection/>
    </xf>
    <xf numFmtId="171" fontId="22" fillId="24" borderId="12" xfId="124" applyFont="1" applyFill="1" applyBorder="1" applyAlignment="1">
      <alignment horizontal="center" vertical="center"/>
    </xf>
    <xf numFmtId="0" fontId="22" fillId="24" borderId="11" xfId="58" applyFont="1" applyFill="1" applyBorder="1" applyAlignment="1">
      <alignment horizontal="center" vertical="center" wrapText="1"/>
      <protection/>
    </xf>
    <xf numFmtId="0" fontId="22" fillId="24" borderId="11" xfId="58" applyFont="1" applyFill="1" applyBorder="1" applyAlignment="1">
      <alignment horizontal="center" vertical="center"/>
      <protection/>
    </xf>
    <xf numFmtId="179" fontId="22" fillId="24" borderId="11" xfId="58"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center" wrapText="1"/>
    </xf>
    <xf numFmtId="49" fontId="25" fillId="24" borderId="11" xfId="0" applyNumberFormat="1" applyFont="1" applyFill="1" applyBorder="1" applyAlignment="1">
      <alignment horizontal="center" vertical="center" wrapText="1"/>
    </xf>
    <xf numFmtId="0" fontId="25" fillId="24" borderId="11" xfId="0" applyFont="1" applyFill="1" applyBorder="1" applyAlignment="1">
      <alignment horizontal="center"/>
    </xf>
    <xf numFmtId="49" fontId="25" fillId="24" borderId="11" xfId="0" applyNumberFormat="1" applyFont="1" applyFill="1" applyBorder="1" applyAlignment="1">
      <alignment horizontal="center" wrapText="1"/>
    </xf>
    <xf numFmtId="0" fontId="30" fillId="24" borderId="11" xfId="0" applyFont="1" applyFill="1" applyBorder="1" applyAlignment="1">
      <alignment horizontal="center" vertical="center" wrapText="1"/>
    </xf>
    <xf numFmtId="0" fontId="40" fillId="24" borderId="11" xfId="0" applyFont="1" applyFill="1" applyBorder="1" applyAlignment="1">
      <alignment horizontal="center" vertical="center" wrapText="1"/>
    </xf>
    <xf numFmtId="0" fontId="40" fillId="24" borderId="11" xfId="0" applyFont="1" applyFill="1" applyBorder="1" applyAlignment="1">
      <alignment horizontal="center" vertical="top" wrapText="1"/>
    </xf>
    <xf numFmtId="0" fontId="26" fillId="24" borderId="11" xfId="0" applyFont="1" applyFill="1" applyBorder="1" applyAlignment="1">
      <alignment horizontal="center" wrapText="1"/>
    </xf>
    <xf numFmtId="0" fontId="26" fillId="24" borderId="11" xfId="0" applyFont="1" applyFill="1" applyBorder="1" applyAlignment="1">
      <alignment/>
    </xf>
    <xf numFmtId="0" fontId="9" fillId="24" borderId="0" xfId="58" applyFill="1" applyAlignment="1">
      <alignment vertical="center"/>
      <protection/>
    </xf>
    <xf numFmtId="0" fontId="9" fillId="24" borderId="0" xfId="58" applyFill="1">
      <alignment/>
      <protection/>
    </xf>
    <xf numFmtId="0" fontId="9" fillId="24" borderId="0" xfId="58" applyFill="1" applyAlignment="1">
      <alignment horizontal="center"/>
      <protection/>
    </xf>
    <xf numFmtId="0" fontId="22" fillId="24" borderId="13" xfId="58" applyFont="1" applyFill="1" applyBorder="1" applyAlignment="1">
      <alignment horizontal="center" vertical="center"/>
      <protection/>
    </xf>
    <xf numFmtId="0" fontId="9" fillId="24" borderId="11" xfId="58" applyFill="1" applyBorder="1">
      <alignment/>
      <protection/>
    </xf>
    <xf numFmtId="181" fontId="24" fillId="24" borderId="11" xfId="58" applyNumberFormat="1" applyFont="1" applyFill="1" applyBorder="1" applyAlignment="1">
      <alignment horizontal="center" vertical="center" wrapText="1"/>
      <protection/>
    </xf>
    <xf numFmtId="4" fontId="24" fillId="24" borderId="11" xfId="58" applyNumberFormat="1" applyFont="1" applyFill="1" applyBorder="1" applyAlignment="1">
      <alignment horizontal="center" vertical="center"/>
      <protection/>
    </xf>
    <xf numFmtId="0" fontId="27" fillId="0" borderId="0" xfId="0" applyFont="1" applyAlignment="1">
      <alignment wrapText="1"/>
    </xf>
    <xf numFmtId="0" fontId="2" fillId="24" borderId="11" xfId="58" applyFont="1" applyFill="1" applyBorder="1" applyAlignment="1">
      <alignment horizontal="left" vertical="top" wrapText="1"/>
      <protection/>
    </xf>
    <xf numFmtId="0" fontId="2" fillId="24" borderId="11" xfId="58" applyFont="1" applyFill="1" applyBorder="1" applyAlignment="1">
      <alignment horizontal="left" wrapText="1"/>
      <protection/>
    </xf>
    <xf numFmtId="0" fontId="2" fillId="24" borderId="11" xfId="58" applyFont="1" applyFill="1" applyBorder="1" applyAlignment="1">
      <alignment horizontal="center" vertical="center"/>
      <protection/>
    </xf>
    <xf numFmtId="3" fontId="2" fillId="24" borderId="11" xfId="58" applyNumberFormat="1" applyFont="1" applyFill="1" applyBorder="1" applyAlignment="1">
      <alignment horizontal="center" vertical="top"/>
      <protection/>
    </xf>
    <xf numFmtId="3" fontId="2" fillId="24" borderId="11" xfId="58" applyNumberFormat="1" applyFont="1" applyFill="1" applyBorder="1" applyAlignment="1">
      <alignment horizontal="center" vertical="center" wrapText="1"/>
      <protection/>
    </xf>
    <xf numFmtId="16" fontId="2" fillId="0" borderId="11" xfId="58" applyNumberFormat="1" applyFont="1" applyBorder="1" applyAlignment="1">
      <alignment horizontal="center" vertical="top" wrapText="1"/>
      <protection/>
    </xf>
    <xf numFmtId="0" fontId="2" fillId="24" borderId="11" xfId="58" applyFont="1" applyFill="1" applyBorder="1" applyAlignment="1">
      <alignment vertical="top" wrapText="1"/>
      <protection/>
    </xf>
    <xf numFmtId="0" fontId="26" fillId="0" borderId="0" xfId="0" applyFont="1" applyAlignment="1">
      <alignment vertical="center" wrapText="1"/>
    </xf>
    <xf numFmtId="0" fontId="26" fillId="0" borderId="0" xfId="0" applyFont="1" applyAlignment="1">
      <alignment horizontal="right" wrapText="1"/>
    </xf>
    <xf numFmtId="0" fontId="27" fillId="0" borderId="0" xfId="0" applyNumberFormat="1" applyFont="1" applyBorder="1" applyAlignment="1">
      <alignment horizontal="left"/>
    </xf>
    <xf numFmtId="0" fontId="52" fillId="0" borderId="0" xfId="0" applyFont="1" applyAlignment="1">
      <alignment/>
    </xf>
    <xf numFmtId="0" fontId="26" fillId="0" borderId="0" xfId="0" applyFont="1" applyAlignment="1">
      <alignment horizontal="left"/>
    </xf>
    <xf numFmtId="0" fontId="27" fillId="0" borderId="0" xfId="0" applyFont="1" applyAlignment="1">
      <alignment horizontal="right"/>
    </xf>
    <xf numFmtId="0" fontId="3" fillId="0" borderId="11" xfId="58" applyFont="1" applyBorder="1" applyAlignment="1">
      <alignment horizontal="center" wrapText="1"/>
      <protection/>
    </xf>
    <xf numFmtId="0" fontId="3" fillId="0" borderId="11" xfId="58" applyFont="1" applyBorder="1" applyAlignment="1">
      <alignment horizontal="center"/>
      <protection/>
    </xf>
    <xf numFmtId="0" fontId="2" fillId="0" borderId="11" xfId="58" applyFont="1" applyBorder="1" applyAlignment="1">
      <alignment horizontal="left" wrapText="1"/>
      <protection/>
    </xf>
    <xf numFmtId="0" fontId="3" fillId="24" borderId="11" xfId="58" applyFont="1" applyFill="1" applyBorder="1" applyAlignment="1">
      <alignment horizontal="center"/>
      <protection/>
    </xf>
    <xf numFmtId="0" fontId="49" fillId="0" borderId="0" xfId="0" applyFont="1" applyAlignment="1">
      <alignment/>
    </xf>
    <xf numFmtId="0" fontId="51" fillId="0" borderId="0" xfId="0" applyFont="1" applyAlignment="1">
      <alignment horizontal="center"/>
    </xf>
    <xf numFmtId="0" fontId="22" fillId="0" borderId="0" xfId="0" applyFont="1" applyAlignment="1">
      <alignment horizontal="center"/>
    </xf>
    <xf numFmtId="0" fontId="51" fillId="0" borderId="0" xfId="0" applyFont="1" applyFill="1" applyAlignment="1">
      <alignment/>
    </xf>
    <xf numFmtId="0" fontId="43" fillId="0" borderId="0" xfId="0" applyFont="1" applyAlignment="1">
      <alignment horizontal="center" wrapText="1"/>
    </xf>
    <xf numFmtId="0" fontId="43" fillId="0" borderId="0" xfId="0" applyFont="1" applyAlignment="1">
      <alignment horizontal="center"/>
    </xf>
    <xf numFmtId="0" fontId="44" fillId="0" borderId="0" xfId="0" applyFont="1" applyAlignment="1">
      <alignment/>
    </xf>
    <xf numFmtId="0" fontId="22" fillId="0" borderId="0"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22" fillId="0" borderId="12" xfId="0" applyFont="1" applyBorder="1" applyAlignment="1">
      <alignment horizontal="center"/>
    </xf>
    <xf numFmtId="0" fontId="22" fillId="0" borderId="11" xfId="0" applyFont="1" applyBorder="1" applyAlignment="1">
      <alignment/>
    </xf>
    <xf numFmtId="0" fontId="22" fillId="0" borderId="11" xfId="0" applyFont="1" applyFill="1" applyBorder="1" applyAlignment="1">
      <alignment/>
    </xf>
    <xf numFmtId="0" fontId="51" fillId="0" borderId="11" xfId="0" applyFont="1" applyFill="1" applyBorder="1" applyAlignment="1">
      <alignment/>
    </xf>
    <xf numFmtId="195" fontId="22" fillId="0" borderId="11" xfId="0" applyNumberFormat="1" applyFont="1" applyFill="1" applyBorder="1" applyAlignment="1">
      <alignment/>
    </xf>
    <xf numFmtId="2" fontId="22" fillId="0" borderId="11" xfId="0" applyNumberFormat="1" applyFont="1" applyFill="1" applyBorder="1" applyAlignment="1">
      <alignment/>
    </xf>
    <xf numFmtId="0" fontId="24" fillId="0" borderId="11" xfId="0" applyFont="1" applyFill="1" applyBorder="1" applyAlignment="1">
      <alignment/>
    </xf>
    <xf numFmtId="195" fontId="24" fillId="0" borderId="11" xfId="0" applyNumberFormat="1" applyFont="1" applyFill="1" applyBorder="1" applyAlignment="1">
      <alignment/>
    </xf>
    <xf numFmtId="195" fontId="22" fillId="0" borderId="11" xfId="0" applyNumberFormat="1" applyFont="1" applyBorder="1" applyAlignment="1">
      <alignment/>
    </xf>
    <xf numFmtId="0" fontId="24" fillId="0" borderId="11" xfId="0" applyFont="1" applyBorder="1" applyAlignment="1">
      <alignment/>
    </xf>
    <xf numFmtId="195" fontId="24" fillId="0" borderId="11" xfId="0" applyNumberFormat="1" applyFont="1" applyBorder="1" applyAlignment="1">
      <alignment/>
    </xf>
    <xf numFmtId="0" fontId="24" fillId="0" borderId="0" xfId="0" applyFont="1" applyBorder="1" applyAlignment="1">
      <alignment/>
    </xf>
    <xf numFmtId="195" fontId="24" fillId="0" borderId="0" xfId="0" applyNumberFormat="1" applyFont="1" applyBorder="1" applyAlignment="1">
      <alignment/>
    </xf>
    <xf numFmtId="195" fontId="24" fillId="0" borderId="0" xfId="0" applyNumberFormat="1" applyFont="1" applyFill="1" applyBorder="1" applyAlignment="1">
      <alignment/>
    </xf>
    <xf numFmtId="0" fontId="51" fillId="0" borderId="0" xfId="0" applyFont="1" applyAlignment="1">
      <alignment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51" fillId="0" borderId="0" xfId="0" applyFont="1" applyFill="1" applyAlignment="1">
      <alignment vertical="center"/>
    </xf>
    <xf numFmtId="0" fontId="22" fillId="0" borderId="17" xfId="0" applyFont="1" applyBorder="1" applyAlignment="1">
      <alignment horizontal="center"/>
    </xf>
    <xf numFmtId="0" fontId="22" fillId="0" borderId="12" xfId="0" applyFont="1" applyBorder="1" applyAlignment="1">
      <alignment/>
    </xf>
    <xf numFmtId="0" fontId="22" fillId="0" borderId="18" xfId="0" applyFont="1" applyBorder="1" applyAlignment="1">
      <alignment/>
    </xf>
    <xf numFmtId="0" fontId="51" fillId="0" borderId="19" xfId="0" applyFont="1" applyBorder="1" applyAlignment="1">
      <alignment/>
    </xf>
    <xf numFmtId="0" fontId="22" fillId="0" borderId="13" xfId="0" applyFont="1" applyBorder="1" applyAlignment="1">
      <alignment/>
    </xf>
    <xf numFmtId="0" fontId="22" fillId="0" borderId="20" xfId="0" applyFont="1" applyBorder="1" applyAlignment="1">
      <alignment/>
    </xf>
    <xf numFmtId="180" fontId="22" fillId="0" borderId="18" xfId="0" applyNumberFormat="1" applyFont="1" applyBorder="1" applyAlignment="1">
      <alignment/>
    </xf>
    <xf numFmtId="180" fontId="22" fillId="0" borderId="0" xfId="0" applyNumberFormat="1" applyFont="1" applyBorder="1" applyAlignment="1">
      <alignment/>
    </xf>
    <xf numFmtId="180" fontId="22" fillId="0" borderId="19" xfId="0" applyNumberFormat="1" applyFont="1" applyBorder="1" applyAlignment="1">
      <alignment/>
    </xf>
    <xf numFmtId="180" fontId="22" fillId="0" borderId="20" xfId="0" applyNumberFormat="1" applyFont="1" applyBorder="1" applyAlignment="1">
      <alignment/>
    </xf>
    <xf numFmtId="0" fontId="22" fillId="0" borderId="21" xfId="0" applyFont="1" applyBorder="1" applyAlignment="1">
      <alignment horizontal="center"/>
    </xf>
    <xf numFmtId="180" fontId="24" fillId="0" borderId="11" xfId="0" applyNumberFormat="1" applyFont="1" applyBorder="1" applyAlignment="1">
      <alignment/>
    </xf>
    <xf numFmtId="0" fontId="22" fillId="0" borderId="22" xfId="0" applyFont="1" applyBorder="1" applyAlignment="1">
      <alignment/>
    </xf>
    <xf numFmtId="4" fontId="24" fillId="0" borderId="11" xfId="0" applyNumberFormat="1" applyFont="1" applyBorder="1" applyAlignment="1">
      <alignment/>
    </xf>
    <xf numFmtId="4" fontId="51" fillId="0" borderId="0" xfId="0" applyNumberFormat="1" applyFont="1" applyFill="1" applyAlignment="1">
      <alignment/>
    </xf>
    <xf numFmtId="0" fontId="22" fillId="0" borderId="19" xfId="0" applyFont="1" applyBorder="1" applyAlignment="1">
      <alignment/>
    </xf>
    <xf numFmtId="195" fontId="22" fillId="0" borderId="18" xfId="0" applyNumberFormat="1" applyFont="1" applyBorder="1" applyAlignment="1">
      <alignment/>
    </xf>
    <xf numFmtId="195" fontId="22" fillId="0" borderId="0" xfId="0" applyNumberFormat="1" applyFont="1" applyBorder="1" applyAlignment="1">
      <alignment/>
    </xf>
    <xf numFmtId="195" fontId="24" fillId="0" borderId="22" xfId="0" applyNumberFormat="1" applyFont="1" applyBorder="1" applyAlignment="1">
      <alignment/>
    </xf>
    <xf numFmtId="0" fontId="24" fillId="0" borderId="22" xfId="0" applyFont="1" applyBorder="1" applyAlignment="1">
      <alignment/>
    </xf>
    <xf numFmtId="0" fontId="22" fillId="0" borderId="18" xfId="0" applyFont="1" applyBorder="1" applyAlignment="1">
      <alignment horizontal="center"/>
    </xf>
    <xf numFmtId="3" fontId="22" fillId="0" borderId="0" xfId="0" applyNumberFormat="1" applyFont="1" applyBorder="1" applyAlignment="1">
      <alignment/>
    </xf>
    <xf numFmtId="3" fontId="22" fillId="0" borderId="18" xfId="0" applyNumberFormat="1" applyFont="1" applyBorder="1" applyAlignment="1">
      <alignment/>
    </xf>
    <xf numFmtId="195" fontId="22" fillId="0" borderId="19" xfId="0" applyNumberFormat="1" applyFont="1" applyBorder="1" applyAlignment="1">
      <alignment/>
    </xf>
    <xf numFmtId="195" fontId="22" fillId="0" borderId="15" xfId="0" applyNumberFormat="1" applyFont="1" applyBorder="1" applyAlignment="1">
      <alignment/>
    </xf>
    <xf numFmtId="0" fontId="24" fillId="0" borderId="21" xfId="0" applyFont="1" applyBorder="1" applyAlignment="1">
      <alignment horizontal="center"/>
    </xf>
    <xf numFmtId="180" fontId="24" fillId="0" borderId="22" xfId="0" applyNumberFormat="1" applyFont="1" applyBorder="1" applyAlignment="1">
      <alignment/>
    </xf>
    <xf numFmtId="2" fontId="51" fillId="0" borderId="0" xfId="0" applyNumberFormat="1" applyFont="1" applyFill="1" applyAlignment="1">
      <alignment/>
    </xf>
    <xf numFmtId="0" fontId="24" fillId="25" borderId="11" xfId="0" applyFont="1" applyFill="1" applyBorder="1" applyAlignment="1">
      <alignment vertical="center"/>
    </xf>
    <xf numFmtId="0" fontId="24" fillId="25" borderId="21" xfId="0" applyFont="1" applyFill="1" applyBorder="1" applyAlignment="1">
      <alignment vertical="center"/>
    </xf>
    <xf numFmtId="0" fontId="24" fillId="25" borderId="22" xfId="0" applyFont="1" applyFill="1" applyBorder="1" applyAlignment="1">
      <alignment vertical="center"/>
    </xf>
    <xf numFmtId="180" fontId="24" fillId="25" borderId="11" xfId="0" applyNumberFormat="1" applyFont="1" applyFill="1" applyBorder="1" applyAlignment="1">
      <alignment vertical="center"/>
    </xf>
    <xf numFmtId="4" fontId="24" fillId="25" borderId="13" xfId="0" applyNumberFormat="1" applyFont="1" applyFill="1" applyBorder="1" applyAlignment="1">
      <alignment vertical="center"/>
    </xf>
    <xf numFmtId="0" fontId="22" fillId="0" borderId="21" xfId="0" applyFont="1" applyBorder="1" applyAlignment="1">
      <alignment/>
    </xf>
    <xf numFmtId="10" fontId="22" fillId="0" borderId="22" xfId="115" applyNumberFormat="1" applyFont="1" applyBorder="1" applyAlignment="1">
      <alignment/>
    </xf>
    <xf numFmtId="10" fontId="22" fillId="0" borderId="11" xfId="115" applyNumberFormat="1" applyFont="1" applyBorder="1" applyAlignment="1">
      <alignment/>
    </xf>
    <xf numFmtId="0" fontId="51" fillId="0" borderId="0" xfId="0" applyFont="1" applyFill="1" applyBorder="1" applyAlignment="1">
      <alignment/>
    </xf>
    <xf numFmtId="10" fontId="22" fillId="0" borderId="0" xfId="115" applyNumberFormat="1" applyFont="1" applyBorder="1" applyAlignment="1">
      <alignment/>
    </xf>
    <xf numFmtId="0" fontId="53" fillId="25" borderId="11" xfId="0" applyFont="1" applyFill="1" applyBorder="1" applyAlignment="1">
      <alignment horizontal="center" vertical="center"/>
    </xf>
    <xf numFmtId="0" fontId="53" fillId="0" borderId="0" xfId="0" applyFont="1" applyFill="1" applyBorder="1" applyAlignment="1">
      <alignment horizontal="center" vertical="center"/>
    </xf>
    <xf numFmtId="173" fontId="53" fillId="0" borderId="0" xfId="122" applyNumberFormat="1" applyFont="1" applyFill="1" applyBorder="1" applyAlignment="1">
      <alignment horizontal="center" vertical="center"/>
    </xf>
    <xf numFmtId="0" fontId="22" fillId="0" borderId="0" xfId="0" applyFont="1" applyFill="1" applyBorder="1" applyAlignment="1">
      <alignment/>
    </xf>
    <xf numFmtId="173" fontId="53" fillId="25" borderId="11" xfId="0" applyNumberFormat="1" applyFont="1" applyFill="1" applyBorder="1" applyAlignment="1">
      <alignment horizontal="center" vertical="center"/>
    </xf>
    <xf numFmtId="0" fontId="51" fillId="0" borderId="0" xfId="0" applyFont="1" applyAlignment="1">
      <alignment/>
    </xf>
    <xf numFmtId="4" fontId="51" fillId="0" borderId="0" xfId="0" applyNumberFormat="1" applyFont="1" applyAlignment="1">
      <alignment/>
    </xf>
    <xf numFmtId="0" fontId="51" fillId="0" borderId="0" xfId="0" applyFont="1" applyFill="1" applyAlignment="1">
      <alignment/>
    </xf>
    <xf numFmtId="0" fontId="51" fillId="0" borderId="11" xfId="0" applyFont="1" applyFill="1" applyBorder="1" applyAlignment="1">
      <alignment wrapText="1"/>
    </xf>
    <xf numFmtId="180" fontId="22" fillId="0" borderId="11" xfId="0" applyNumberFormat="1" applyFont="1" applyBorder="1" applyAlignment="1">
      <alignment/>
    </xf>
    <xf numFmtId="4" fontId="22" fillId="0" borderId="11" xfId="0" applyNumberFormat="1" applyFont="1" applyBorder="1" applyAlignment="1">
      <alignment/>
    </xf>
    <xf numFmtId="3" fontId="22" fillId="0" borderId="11" xfId="0" applyNumberFormat="1" applyFont="1" applyBorder="1" applyAlignment="1">
      <alignment/>
    </xf>
    <xf numFmtId="0" fontId="24" fillId="0" borderId="11" xfId="0" applyFont="1" applyBorder="1" applyAlignment="1">
      <alignment horizontal="center"/>
    </xf>
    <xf numFmtId="4" fontId="24" fillId="25" borderId="11" xfId="0" applyNumberFormat="1" applyFont="1" applyFill="1" applyBorder="1" applyAlignment="1">
      <alignment vertical="center"/>
    </xf>
    <xf numFmtId="0" fontId="51" fillId="0" borderId="11" xfId="0" applyFont="1" applyFill="1" applyBorder="1" applyAlignment="1">
      <alignment horizontal="center" wrapText="1"/>
    </xf>
    <xf numFmtId="181" fontId="24" fillId="25" borderId="11" xfId="0" applyNumberFormat="1" applyFont="1" applyFill="1" applyBorder="1" applyAlignment="1">
      <alignment vertical="center"/>
    </xf>
    <xf numFmtId="4" fontId="22" fillId="24" borderId="11" xfId="0" applyNumberFormat="1" applyFont="1" applyFill="1" applyBorder="1" applyAlignment="1">
      <alignment/>
    </xf>
    <xf numFmtId="180" fontId="22" fillId="24" borderId="11" xfId="0" applyNumberFormat="1" applyFont="1" applyFill="1" applyBorder="1" applyAlignment="1">
      <alignment/>
    </xf>
    <xf numFmtId="181" fontId="22" fillId="24" borderId="11" xfId="0" applyNumberFormat="1" applyFont="1" applyFill="1" applyBorder="1" applyAlignment="1">
      <alignment/>
    </xf>
    <xf numFmtId="180" fontId="24" fillId="24" borderId="11" xfId="0" applyNumberFormat="1" applyFont="1" applyFill="1" applyBorder="1" applyAlignment="1">
      <alignment/>
    </xf>
    <xf numFmtId="0" fontId="22" fillId="24" borderId="11" xfId="0" applyFont="1" applyFill="1" applyBorder="1" applyAlignment="1">
      <alignment/>
    </xf>
    <xf numFmtId="2" fontId="22" fillId="24" borderId="11" xfId="0" applyNumberFormat="1" applyFont="1" applyFill="1" applyBorder="1" applyAlignment="1">
      <alignment/>
    </xf>
    <xf numFmtId="179" fontId="22" fillId="24" borderId="11" xfId="0" applyNumberFormat="1" applyFont="1" applyFill="1" applyBorder="1" applyAlignment="1">
      <alignment/>
    </xf>
    <xf numFmtId="195" fontId="24" fillId="24" borderId="11" xfId="0" applyNumberFormat="1" applyFont="1" applyFill="1" applyBorder="1" applyAlignment="1">
      <alignment/>
    </xf>
    <xf numFmtId="195" fontId="22" fillId="24" borderId="11" xfId="0" applyNumberFormat="1" applyFont="1" applyFill="1" applyBorder="1" applyAlignment="1">
      <alignment/>
    </xf>
    <xf numFmtId="3" fontId="22" fillId="24" borderId="11" xfId="0" applyNumberFormat="1" applyFont="1" applyFill="1" applyBorder="1" applyAlignment="1">
      <alignment/>
    </xf>
    <xf numFmtId="3" fontId="22" fillId="24" borderId="11" xfId="0" applyNumberFormat="1" applyFont="1" applyFill="1" applyBorder="1" applyAlignment="1">
      <alignment horizontal="center"/>
    </xf>
    <xf numFmtId="0" fontId="22" fillId="24" borderId="11" xfId="0" applyFont="1" applyFill="1" applyBorder="1" applyAlignment="1">
      <alignment horizontal="center"/>
    </xf>
    <xf numFmtId="195" fontId="22" fillId="0" borderId="11" xfId="0" applyNumberFormat="1" applyFont="1" applyBorder="1" applyAlignment="1">
      <alignment horizontal="center"/>
    </xf>
    <xf numFmtId="1" fontId="22" fillId="0" borderId="11" xfId="0" applyNumberFormat="1" applyFont="1" applyBorder="1" applyAlignment="1">
      <alignment horizontal="center"/>
    </xf>
    <xf numFmtId="1" fontId="22" fillId="24" borderId="11" xfId="0" applyNumberFormat="1" applyFont="1" applyFill="1" applyBorder="1" applyAlignment="1">
      <alignment horizontal="center"/>
    </xf>
    <xf numFmtId="0" fontId="24" fillId="24" borderId="11" xfId="0" applyFont="1" applyFill="1" applyBorder="1" applyAlignment="1">
      <alignment/>
    </xf>
    <xf numFmtId="0" fontId="51" fillId="24" borderId="11" xfId="0" applyFont="1" applyFill="1" applyBorder="1" applyAlignment="1">
      <alignment horizontal="center"/>
    </xf>
    <xf numFmtId="0" fontId="51" fillId="0" borderId="0" xfId="0" applyFont="1" applyAlignment="1">
      <alignment horizontal="center"/>
    </xf>
    <xf numFmtId="0" fontId="49" fillId="0" borderId="0" xfId="0" applyFont="1" applyAlignment="1">
      <alignment/>
    </xf>
    <xf numFmtId="4" fontId="51" fillId="0" borderId="0" xfId="0" applyNumberFormat="1" applyFont="1" applyAlignment="1">
      <alignment/>
    </xf>
    <xf numFmtId="180" fontId="24" fillId="0" borderId="0" xfId="0" applyNumberFormat="1" applyFont="1" applyBorder="1" applyAlignment="1">
      <alignment/>
    </xf>
    <xf numFmtId="195" fontId="22" fillId="0" borderId="0" xfId="0" applyNumberFormat="1" applyFont="1" applyFill="1" applyBorder="1" applyAlignment="1">
      <alignment/>
    </xf>
    <xf numFmtId="4" fontId="22" fillId="26" borderId="11" xfId="0" applyNumberFormat="1" applyFont="1" applyFill="1" applyBorder="1" applyAlignment="1">
      <alignment/>
    </xf>
    <xf numFmtId="179" fontId="22" fillId="26" borderId="11" xfId="0" applyNumberFormat="1" applyFont="1" applyFill="1" applyBorder="1" applyAlignment="1">
      <alignment/>
    </xf>
    <xf numFmtId="2" fontId="22" fillId="26" borderId="11" xfId="0" applyNumberFormat="1" applyFont="1" applyFill="1" applyBorder="1" applyAlignment="1">
      <alignment/>
    </xf>
    <xf numFmtId="0" fontId="22" fillId="26" borderId="11" xfId="0" applyFont="1" applyFill="1" applyBorder="1" applyAlignment="1">
      <alignment/>
    </xf>
    <xf numFmtId="3" fontId="22" fillId="26" borderId="11" xfId="0" applyNumberFormat="1" applyFont="1" applyFill="1" applyBorder="1" applyAlignment="1">
      <alignment/>
    </xf>
    <xf numFmtId="195" fontId="22" fillId="26" borderId="11" xfId="0" applyNumberFormat="1" applyFont="1" applyFill="1" applyBorder="1" applyAlignment="1">
      <alignment/>
    </xf>
    <xf numFmtId="181" fontId="51" fillId="0" borderId="0" xfId="0" applyNumberFormat="1" applyFont="1" applyAlignment="1">
      <alignment/>
    </xf>
    <xf numFmtId="1" fontId="22" fillId="24" borderId="11" xfId="0" applyNumberFormat="1" applyFont="1" applyFill="1" applyBorder="1" applyAlignment="1">
      <alignment/>
    </xf>
    <xf numFmtId="0" fontId="51" fillId="0" borderId="0" xfId="0" applyFont="1" applyFill="1" applyBorder="1" applyAlignment="1">
      <alignment wrapText="1"/>
    </xf>
    <xf numFmtId="0" fontId="28" fillId="0" borderId="0" xfId="43" applyAlignment="1" applyProtection="1">
      <alignment/>
      <protection/>
    </xf>
    <xf numFmtId="0" fontId="52" fillId="0" borderId="0" xfId="0" applyFont="1" applyAlignment="1">
      <alignment horizontal="left"/>
    </xf>
    <xf numFmtId="179" fontId="2" fillId="24" borderId="11" xfId="58" applyNumberFormat="1" applyFont="1" applyFill="1" applyBorder="1" applyAlignment="1">
      <alignment horizontal="center" vertical="center"/>
      <protection/>
    </xf>
    <xf numFmtId="4" fontId="2" fillId="0" borderId="11" xfId="58" applyNumberFormat="1" applyFont="1" applyFill="1" applyBorder="1" applyAlignment="1">
      <alignment horizontal="center" vertical="center"/>
      <protection/>
    </xf>
    <xf numFmtId="0" fontId="3" fillId="0" borderId="0" xfId="58" applyFont="1" applyAlignment="1">
      <alignment horizontal="center" wrapText="1"/>
      <protection/>
    </xf>
    <xf numFmtId="0" fontId="3" fillId="0" borderId="0" xfId="58" applyFont="1" applyAlignment="1">
      <alignment horizontal="center"/>
      <protection/>
    </xf>
    <xf numFmtId="0" fontId="2" fillId="24" borderId="22" xfId="58" applyFont="1" applyFill="1" applyBorder="1" applyAlignment="1">
      <alignment horizontal="center" vertical="center" wrapText="1"/>
      <protection/>
    </xf>
    <xf numFmtId="0" fontId="2" fillId="24" borderId="21" xfId="58" applyFont="1" applyFill="1" applyBorder="1" applyAlignment="1">
      <alignment horizontal="center" vertical="center" wrapText="1"/>
      <protection/>
    </xf>
    <xf numFmtId="0" fontId="2" fillId="24" borderId="23" xfId="58" applyFont="1" applyFill="1" applyBorder="1" applyAlignment="1">
      <alignment horizontal="center" vertical="center" wrapText="1"/>
      <protection/>
    </xf>
    <xf numFmtId="0" fontId="41" fillId="0" borderId="0" xfId="0" applyFont="1" applyAlignment="1">
      <alignment horizontal="center" vertical="center" wrapText="1"/>
    </xf>
    <xf numFmtId="0" fontId="42" fillId="0" borderId="0" xfId="0" applyFont="1" applyAlignment="1">
      <alignment horizontal="left"/>
    </xf>
    <xf numFmtId="0" fontId="27" fillId="0" borderId="0" xfId="0" applyFont="1" applyAlignment="1">
      <alignment horizontal="center"/>
    </xf>
    <xf numFmtId="0" fontId="26" fillId="0" borderId="11" xfId="109" applyFont="1" applyBorder="1" applyAlignment="1">
      <alignment horizontal="center" vertical="center" wrapText="1"/>
      <protection/>
    </xf>
    <xf numFmtId="0" fontId="24" fillId="24" borderId="22" xfId="58" applyFont="1" applyFill="1" applyBorder="1" applyAlignment="1">
      <alignment horizontal="right" vertical="center"/>
      <protection/>
    </xf>
    <xf numFmtId="0" fontId="24" fillId="24" borderId="21" xfId="58" applyFont="1" applyFill="1" applyBorder="1" applyAlignment="1">
      <alignment horizontal="right" vertical="center"/>
      <protection/>
    </xf>
    <xf numFmtId="0" fontId="24" fillId="24" borderId="22" xfId="58" applyFont="1" applyFill="1" applyBorder="1" applyAlignment="1">
      <alignment horizontal="center" vertical="center" wrapText="1"/>
      <protection/>
    </xf>
    <xf numFmtId="0" fontId="24" fillId="24" borderId="21" xfId="58" applyFont="1" applyFill="1" applyBorder="1" applyAlignment="1">
      <alignment horizontal="center" vertical="center" wrapText="1"/>
      <protection/>
    </xf>
    <xf numFmtId="0" fontId="24" fillId="24" borderId="14" xfId="58" applyFont="1" applyFill="1" applyBorder="1" applyAlignment="1">
      <alignment horizontal="center" vertical="center" wrapText="1"/>
      <protection/>
    </xf>
    <xf numFmtId="0" fontId="24" fillId="24" borderId="24" xfId="58" applyFont="1" applyFill="1" applyBorder="1" applyAlignment="1">
      <alignment horizontal="center" vertical="center" wrapText="1"/>
      <protection/>
    </xf>
    <xf numFmtId="0" fontId="24" fillId="24" borderId="19" xfId="58" applyFont="1" applyFill="1" applyBorder="1" applyAlignment="1">
      <alignment horizontal="center" vertical="center" wrapText="1"/>
      <protection/>
    </xf>
    <xf numFmtId="0" fontId="24" fillId="24" borderId="20" xfId="58" applyFont="1" applyFill="1" applyBorder="1" applyAlignment="1">
      <alignment horizontal="center" vertical="center" wrapText="1"/>
      <protection/>
    </xf>
    <xf numFmtId="0" fontId="24" fillId="24" borderId="15" xfId="58" applyFont="1" applyFill="1" applyBorder="1" applyAlignment="1">
      <alignment horizontal="center" vertical="center" wrapText="1"/>
      <protection/>
    </xf>
    <xf numFmtId="0" fontId="24" fillId="24" borderId="25" xfId="58" applyFont="1" applyFill="1" applyBorder="1" applyAlignment="1">
      <alignment horizontal="center" vertical="center" wrapText="1"/>
      <protection/>
    </xf>
    <xf numFmtId="0" fontId="24" fillId="24" borderId="22" xfId="58" applyFont="1" applyFill="1" applyBorder="1" applyAlignment="1">
      <alignment horizontal="right"/>
      <protection/>
    </xf>
    <xf numFmtId="0" fontId="24" fillId="24" borderId="21" xfId="58" applyFont="1" applyFill="1" applyBorder="1" applyAlignment="1">
      <alignment horizontal="right"/>
      <protection/>
    </xf>
    <xf numFmtId="0" fontId="24" fillId="24" borderId="11" xfId="58" applyFont="1" applyFill="1" applyBorder="1" applyAlignment="1">
      <alignment horizontal="center" vertical="center" wrapText="1"/>
      <protection/>
    </xf>
    <xf numFmtId="0" fontId="1" fillId="0" borderId="0" xfId="58" applyFont="1" applyAlignment="1">
      <alignment horizontal="center"/>
      <protection/>
    </xf>
    <xf numFmtId="0" fontId="24" fillId="24" borderId="11" xfId="58" applyFont="1" applyFill="1" applyBorder="1" applyAlignment="1">
      <alignment horizontal="center" vertical="center"/>
      <protection/>
    </xf>
    <xf numFmtId="0" fontId="53" fillId="25" borderId="11" xfId="0" applyFont="1" applyFill="1" applyBorder="1" applyAlignment="1">
      <alignment horizontal="left"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Fill="1" applyBorder="1" applyAlignment="1">
      <alignment horizontal="center"/>
    </xf>
    <xf numFmtId="0" fontId="22" fillId="0" borderId="23" xfId="0" applyFont="1" applyFill="1" applyBorder="1" applyAlignment="1">
      <alignment horizontal="center"/>
    </xf>
    <xf numFmtId="0" fontId="22" fillId="0" borderId="11" xfId="0" applyFont="1" applyFill="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11" xfId="0" applyFont="1" applyBorder="1" applyAlignment="1">
      <alignment horizont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43" fillId="0" borderId="0" xfId="0" applyFont="1" applyAlignment="1">
      <alignment horizontal="center" wrapText="1"/>
    </xf>
    <xf numFmtId="0" fontId="43" fillId="0" borderId="0" xfId="0" applyFont="1" applyAlignment="1">
      <alignment horizontal="center"/>
    </xf>
    <xf numFmtId="0" fontId="22" fillId="0" borderId="21" xfId="0" applyFont="1" applyFill="1" applyBorder="1" applyAlignment="1">
      <alignment horizontal="center"/>
    </xf>
    <xf numFmtId="0" fontId="51" fillId="0" borderId="0" xfId="0" applyFont="1" applyAlignment="1">
      <alignment horizontal="left" vertical="top" wrapText="1"/>
    </xf>
    <xf numFmtId="0" fontId="51" fillId="0" borderId="0" xfId="0" applyFont="1" applyAlignment="1">
      <alignment horizontal="left" wrapText="1"/>
    </xf>
    <xf numFmtId="0" fontId="51" fillId="0" borderId="0" xfId="0" applyFont="1" applyAlignment="1">
      <alignment horizontal="center"/>
    </xf>
    <xf numFmtId="0" fontId="51" fillId="0" borderId="13" xfId="0" applyFont="1" applyFill="1" applyBorder="1" applyAlignment="1">
      <alignment horizontal="center"/>
    </xf>
    <xf numFmtId="0" fontId="51" fillId="0" borderId="12" xfId="0" applyFont="1" applyFill="1" applyBorder="1" applyAlignment="1">
      <alignment horizontal="center"/>
    </xf>
    <xf numFmtId="0" fontId="51" fillId="0" borderId="0" xfId="0" applyFont="1" applyFill="1" applyBorder="1" applyAlignment="1">
      <alignment horizontal="center"/>
    </xf>
  </cellXfs>
  <cellStyles count="11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Гиперссылка 3" xfId="45"/>
    <cellStyle name="Currency" xfId="46"/>
    <cellStyle name="Currency [0]" xfId="47"/>
    <cellStyle name="Заголовок" xfId="48"/>
    <cellStyle name="Заголовок 1" xfId="49"/>
    <cellStyle name="Заголовок 2" xfId="50"/>
    <cellStyle name="Заголовок 3" xfId="51"/>
    <cellStyle name="Заголовок 4" xfId="52"/>
    <cellStyle name="ЗаголовокСтолбца" xfId="53"/>
    <cellStyle name="Итог" xfId="54"/>
    <cellStyle name="Контрольная ячейка" xfId="55"/>
    <cellStyle name="Название" xfId="56"/>
    <cellStyle name="Нейтральный" xfId="57"/>
    <cellStyle name="Обычный 10" xfId="58"/>
    <cellStyle name="Обычный 10 2" xfId="59"/>
    <cellStyle name="Обычный 10 3" xfId="60"/>
    <cellStyle name="Обычный 10 4" xfId="61"/>
    <cellStyle name="Обычный 11" xfId="62"/>
    <cellStyle name="Обычный 11 2" xfId="63"/>
    <cellStyle name="Обычный 11 3" xfId="64"/>
    <cellStyle name="Обычный 12" xfId="65"/>
    <cellStyle name="Обычный 13" xfId="66"/>
    <cellStyle name="Обычный 14" xfId="67"/>
    <cellStyle name="Обычный 15" xfId="68"/>
    <cellStyle name="Обычный 16" xfId="69"/>
    <cellStyle name="Обычный 2" xfId="70"/>
    <cellStyle name="Обычный 2 16" xfId="71"/>
    <cellStyle name="Обычный 2 2" xfId="72"/>
    <cellStyle name="Обычный 2 2 2" xfId="73"/>
    <cellStyle name="Обычный 2 2 3" xfId="74"/>
    <cellStyle name="Обычный 2 2 4" xfId="75"/>
    <cellStyle name="Обычный 2 2 5" xfId="76"/>
    <cellStyle name="Обычный 2 3" xfId="77"/>
    <cellStyle name="Обычный 2 3 2" xfId="78"/>
    <cellStyle name="Обычный 2 4" xfId="79"/>
    <cellStyle name="Обычный 2 5" xfId="80"/>
    <cellStyle name="Обычный 2_ПЛАН 2015_для направления в РЭК" xfId="81"/>
    <cellStyle name="Обычный 3" xfId="82"/>
    <cellStyle name="Обычный 3 2" xfId="83"/>
    <cellStyle name="Обычный 3 3" xfId="84"/>
    <cellStyle name="Обычный 3 4" xfId="85"/>
    <cellStyle name="Обычный 3 5" xfId="86"/>
    <cellStyle name="Обычный 4" xfId="87"/>
    <cellStyle name="Обычный 4 2" xfId="88"/>
    <cellStyle name="Обычный 4 2 2" xfId="89"/>
    <cellStyle name="Обычный 4 2 3" xfId="90"/>
    <cellStyle name="Обычный 4 3" xfId="91"/>
    <cellStyle name="Обычный 4 4" xfId="92"/>
    <cellStyle name="Обычный 4_Амортизация_1" xfId="93"/>
    <cellStyle name="Обычный 5" xfId="94"/>
    <cellStyle name="Обычный 5 2" xfId="95"/>
    <cellStyle name="Обычный 5 3" xfId="96"/>
    <cellStyle name="Обычный 5 4" xfId="97"/>
    <cellStyle name="Обычный 5_Амортизация_1" xfId="98"/>
    <cellStyle name="Обычный 6" xfId="99"/>
    <cellStyle name="Обычный 6 2" xfId="100"/>
    <cellStyle name="Обычный 6 3" xfId="101"/>
    <cellStyle name="Обычный 7" xfId="102"/>
    <cellStyle name="Обычный 7 2" xfId="103"/>
    <cellStyle name="Обычный 7 3" xfId="104"/>
    <cellStyle name="Обычный 8" xfId="105"/>
    <cellStyle name="Обычный 8 2" xfId="106"/>
    <cellStyle name="Обычный 8 3" xfId="107"/>
    <cellStyle name="Обычный 9" xfId="108"/>
    <cellStyle name="Обычный_стр.1_5" xfId="109"/>
    <cellStyle name="Обычный_Шаблон Расчёт тарифа 2013г Горэлектросеть 1" xfId="110"/>
    <cellStyle name="Followed Hyperlink" xfId="111"/>
    <cellStyle name="Плохой" xfId="112"/>
    <cellStyle name="Пояснение" xfId="113"/>
    <cellStyle name="Примечание" xfId="114"/>
    <cellStyle name="Percent" xfId="115"/>
    <cellStyle name="Процентный 2" xfId="116"/>
    <cellStyle name="Процентный 2 2" xfId="117"/>
    <cellStyle name="Процентный 2 3" xfId="118"/>
    <cellStyle name="Связанная ячейка" xfId="119"/>
    <cellStyle name="Стиль 1" xfId="120"/>
    <cellStyle name="Текст предупреждения" xfId="121"/>
    <cellStyle name="Comma" xfId="122"/>
    <cellStyle name="Comma [0]" xfId="123"/>
    <cellStyle name="Финансовый 2" xfId="124"/>
    <cellStyle name="Формула"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ed_economist\&#1086;&#1073;&#1084;&#1077;&#1085;\Users\MorozovaEA\Documents\&#1048;&#1085;&#1074;&#1077;&#1089;&#1090;%20&#1087;&#1088;&#1086;&#1075;&#1088;&#1072;&#1084;&#1084;&#1072;\2016\4%20&#1082;&#1074;\IST.FIN.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UpdTemplMain"/>
      <sheetName val="modHelp"/>
      <sheetName val="modChange"/>
      <sheetName val="modPROV"/>
      <sheetName val="Инструкция"/>
      <sheetName val="Обновление"/>
      <sheetName val="Лог обновления"/>
      <sheetName val="Титульный"/>
      <sheetName val="Факт"/>
      <sheetName val="План"/>
      <sheetName val="Комментарии"/>
      <sheetName val="Проверка"/>
      <sheetName val="et_union_h"/>
      <sheetName val="TEHSHEET"/>
      <sheetName val="AllSheetsInThisWorkbook"/>
      <sheetName val="EVENTS"/>
      <sheetName val="REESTR_ORG"/>
      <sheetName val="REESTR_TEMP"/>
      <sheetName val="REESTR"/>
      <sheetName val="modButtonClick"/>
      <sheetName val="modFrmCalendar"/>
    </sheetNames>
    <sheetDataSet>
      <sheetData sheetId="13">
        <row r="3">
          <cell r="X3" t="str">
            <v>Повышение энергоэффективности при производстве тепловой и электрической энергии:</v>
          </cell>
        </row>
        <row r="4">
          <cell r="X4" t="str">
            <v>- применение рекуперативных и регенеративных горелок (позволяют подогревать подаваемый в камеру горения воздух за счет утилизации тепла отводимых газов)</v>
          </cell>
        </row>
        <row r="5">
          <cell r="X5" t="str">
            <v>- автоматизация режимов горения (поддержание оптимального соотношения топливо-воздух)</v>
          </cell>
        </row>
        <row r="6">
          <cell r="X6" t="str">
            <v>- применение беспламенного объемного сжигания, технология HiTAK</v>
          </cell>
        </row>
        <row r="7">
          <cell r="X7" t="str">
            <v>- сжигание твердого топлива в кипящем слое</v>
          </cell>
        </row>
        <row r="8">
          <cell r="X8" t="str">
            <v>- рекуперация тепла отводимых газов системы дымоудаления, подогрев исходной воды или приточного воздуха</v>
          </cell>
        </row>
        <row r="9">
          <cell r="X9" t="str">
            <v>- минимизация величины продувки котла</v>
          </cell>
        </row>
        <row r="10">
          <cell r="X10" t="str">
            <v>- надстройка действующих водогрейных или паровых котлов газотурбинными установками</v>
          </cell>
        </row>
        <row r="11">
          <cell r="X11" t="str">
            <v>- магнитострикционная очистка внутренних поверхностей котлов от накипи</v>
          </cell>
        </row>
        <row r="12">
          <cell r="X12" t="str">
            <v>- устранение присосов воздуха в газоходах и обмуровках через трещины и неплотности</v>
          </cell>
        </row>
        <row r="13">
          <cell r="X13" t="str">
            <v>- сбор и возврат конденсата в котел</v>
          </cell>
        </row>
        <row r="14">
          <cell r="X14" t="str">
            <v>- применение экономайзеров для предварительного подогрева питательной воды в деаэраторах</v>
          </cell>
        </row>
        <row r="15">
          <cell r="X15" t="str">
            <v>- повторное использование выпара в котлоагрегатах, применение пароструйных инжекторов</v>
          </cell>
        </row>
        <row r="16">
          <cell r="X16" t="str">
            <v>- применение обоснованных режимов снижения температуры теплоносителя</v>
          </cell>
        </row>
        <row r="17">
          <cell r="X17" t="str">
            <v>- использование энергии выделяющейся при снижении давления магистрального газа для выработки электрической и тепловой энергии</v>
          </cell>
        </row>
        <row r="18">
          <cell r="X18" t="str">
            <v>- когенерация, Совместная выработка тепловой и электрической энергии</v>
          </cell>
        </row>
        <row r="19">
          <cell r="X19" t="str">
            <v>- реконструкция котельный в мини-ТЭЦ с надстройкой ГТУ</v>
          </cell>
        </row>
        <row r="20">
          <cell r="X20" t="str">
            <v>- тригенерация, совместная выработка электрической, тепловой энергии, холода</v>
          </cell>
        </row>
        <row r="21">
          <cell r="X21" t="str">
            <v>- компенсация реактивной мощности на уровне объекта</v>
          </cell>
        </row>
        <row r="22">
          <cell r="X22" t="str">
            <v>Повышение энергоэффективности тепловых сетей:</v>
          </cell>
        </row>
        <row r="23">
          <cell r="X23" t="str">
            <v>- оптимизация сечения трубопроводов при перекладке</v>
          </cell>
        </row>
        <row r="24">
          <cell r="X24" t="str">
            <v>- прокладка трубопроводов "труба в трубе" с пенополиуретаной изоляцией</v>
          </cell>
        </row>
        <row r="25">
          <cell r="X25" t="str">
            <v>- замена изоляции минераловатой на пенополиуретановую с металлическими отражателями</v>
          </cell>
        </row>
        <row r="26">
          <cell r="X26" t="str">
            <v>- замена металлических труб на асбоцементные</v>
          </cell>
        </row>
        <row r="27">
          <cell r="X27" t="str">
            <v>- электрохимическая защита металлических трубопроводов</v>
          </cell>
        </row>
        <row r="28">
          <cell r="X28" t="str">
            <v>- применение систем дистанционной диагностики состояния трубопроводов</v>
          </cell>
        </row>
        <row r="29">
          <cell r="X29" t="str">
            <v>- применение обоснованных режимов снижения температуры теплоносителя</v>
          </cell>
        </row>
        <row r="30">
          <cell r="X30" t="str">
            <v>- исключение подсоса грунтовых и сточных вод в подземные теплотрассы</v>
          </cell>
        </row>
        <row r="31">
          <cell r="X31" t="str">
            <v>- замена малоэффективных кожухотрубных теплообменников на ЦТП на пластинчатые, устранение течей</v>
          </cell>
        </row>
        <row r="32">
          <cell r="X32" t="str">
            <v>- установка частотно регулируемых приводов для поддержания оптимального давления в сетях (экономия электроэнергии 20-25% и снижение аварийности)</v>
          </cell>
        </row>
        <row r="33">
          <cell r="X33" t="str">
            <v>- закрытие малоэффективных и ненагруженных котельных</v>
          </cell>
        </row>
        <row r="34">
          <cell r="X34" t="str">
            <v>- проведение мероприятий по оптимизации тепловых режимов здания ЦТП и вторичному использованию тепла обратной сетевой воды и вытяжной вентиляции,</v>
          </cell>
        </row>
        <row r="35">
          <cell r="X35" t="str">
            <v>- установка регулируемых вентилей на подаче тепла на нагруженные участки теплотрасс</v>
          </cell>
        </row>
        <row r="36">
          <cell r="X36" t="str">
            <v>- использование мобильных измерительных комплексов для диагностики состояния и подачи тепла, а так же для регулирования отпуска тепла</v>
          </cell>
        </row>
        <row r="37">
          <cell r="X37" t="str">
            <v>- внедрение кустовых автоматизированных комплексов диспетчеризации ЦТП</v>
          </cell>
        </row>
        <row r="38">
          <cell r="X38" t="str">
            <v>- комплексная гидравлическая балансировка теплосетей</v>
          </cell>
        </row>
        <row r="39">
          <cell r="X39" t="str">
            <v>Повышение энергоэффективности электрических сетей и системы освещения:</v>
          </cell>
        </row>
        <row r="40">
          <cell r="X40" t="str">
            <v>- исключение недогруза трансформаторов (менее 30%)</v>
          </cell>
        </row>
        <row r="41">
          <cell r="X41" t="str">
            <v>- исключение перегруза трансформаторов</v>
          </cell>
        </row>
        <row r="42">
          <cell r="X42" t="str">
            <v>- исключение перегруза длинных участков распределительных сетей</v>
          </cell>
        </row>
        <row r="43">
          <cell r="X43" t="str">
            <v>- установка компенсаторов реактивной мощности у потребителей</v>
          </cell>
        </row>
        <row r="44">
          <cell r="X44" t="str">
            <v>- внедрение распределенной энергетической сетки для компенсации реактивной мощности</v>
          </cell>
        </row>
        <row r="45">
          <cell r="X45" t="str">
            <v>- исключение утечек тока на подземных магистралях</v>
          </cell>
        </row>
        <row r="46">
          <cell r="X46" t="str">
            <v>- своевременная замена изоляторов на ЛЭП</v>
          </cell>
        </row>
        <row r="47">
          <cell r="X47" t="str">
            <v>- повышение качества электрической энергии (применение экранирования, энергосберегающей системы FORCE)</v>
          </cell>
        </row>
        <row r="48">
          <cell r="X48" t="str">
            <v>- увеличение загрузки асинхронных двигателей (нагрузка должна быть более 50%)</v>
          </cell>
        </row>
        <row r="49">
          <cell r="X49" t="str">
            <v>- применение автоматических переключателей с соединения "треугольник" на соединение "звезда" при малонагруженных режимах</v>
          </cell>
        </row>
        <row r="50">
          <cell r="X50" t="str">
            <v>- замена асинхронных двигателей синхронными</v>
          </cell>
        </row>
        <row r="51">
          <cell r="X51" t="str">
            <v>- применение частотно регулируемых приводов в системах вентиляции энергообъектов сетей</v>
          </cell>
        </row>
        <row r="52">
          <cell r="X52" t="str">
            <v>- разработка энергобаланса сетей и постоянная оценка режимов электропотребления для снижения нерациональных энергозатрат</v>
          </cell>
        </row>
        <row r="53">
          <cell r="X53" t="str">
            <v>- проведение мероприятий по внедрению системы энергоэффективного освещения (замена ламп накаливания на люминесцентные и светодиодные, промывка окон, окраска стен в светлые тона)</v>
          </cell>
        </row>
        <row r="54">
          <cell r="X54" t="str">
            <v>Повышение энергоэффективности систем водоснабжения:</v>
          </cell>
        </row>
        <row r="55">
          <cell r="X55" t="str">
            <v>- сокращение использование воды на собственные нужды в водозаборных станциях</v>
          </cell>
        </row>
        <row r="56">
          <cell r="X56" t="str">
            <v>- внедрение систем водооборота на водозаборах</v>
          </cell>
        </row>
        <row r="57">
          <cell r="X57" t="str">
            <v>- оптимизация режимов промывки фильтров</v>
          </cell>
        </row>
        <row r="58">
          <cell r="X58" t="str">
            <v>- применение технологии водо-воздушной промывки</v>
          </cell>
        </row>
        <row r="59">
          <cell r="X59" t="str">
            <v>- установка на раструбные соединения ремонтных комплектов (придают раструбу высокую степень герметичности)</v>
          </cell>
        </row>
        <row r="60">
          <cell r="X60" t="str">
            <v>- использование частотно регулируемых приводов на насосах тепловых пунктов, насосных станциях</v>
          </cell>
        </row>
        <row r="61">
          <cell r="X61" t="str">
            <v>- замена металлических труб на полиэтиленовые (сокращение потерь на поддержание избыточного давления в закодированных трубах)</v>
          </cell>
        </row>
        <row r="62">
          <cell r="X62" t="str">
            <v>- применение систем электрохимической защиты стальных трубороводов</v>
          </cell>
        </row>
        <row r="63">
          <cell r="X63" t="str">
            <v>- внедрение современной запорно-регулирующей и предохранительной арматуры</v>
          </cell>
        </row>
        <row r="64">
          <cell r="X64" t="str">
            <v>- применение сильфонных компенсаторов гидравлических ударов</v>
          </cell>
        </row>
        <row r="65">
          <cell r="X65" t="str">
            <v>- санация ветхих участков водопроводных сетей</v>
          </cell>
        </row>
        <row r="66">
          <cell r="X66" t="str">
            <v>- оптимизация работы системы водоснабжения, диспетчеризация и автоматизация управления сетями</v>
          </cell>
        </row>
        <row r="67">
          <cell r="X67" t="str">
            <v>- установка на ответвлениях сети датчиков и регуляторов сетевого давления</v>
          </cell>
        </row>
        <row r="68">
          <cell r="X68" t="str">
            <v>- изменение схемы централизованного ГВС из циркуляционного в циркуляционно-повысительную</v>
          </cell>
        </row>
        <row r="69">
          <cell r="X69" t="str">
            <v>- установка технологических водомеров на проблемных ответвлениях</v>
          </cell>
        </row>
        <row r="70">
          <cell r="X70" t="str">
            <v>"Нетрадиционные" способы энергосбережения:</v>
          </cell>
        </row>
        <row r="71">
          <cell r="X71" t="str">
            <v>- использование тепла пластовых вод и геотермальных источников для отопления и ГВС</v>
          </cell>
        </row>
        <row r="72">
          <cell r="X72" t="str">
            <v>- использование солнечных коллекторов для дополнительного горячего водоснабжения и отопления зданий</v>
          </cell>
        </row>
        <row r="73">
          <cell r="X73" t="str">
            <v>- создание системы сезонного и суточного аккумулирование тепла</v>
          </cell>
        </row>
        <row r="74">
          <cell r="X74" t="str">
            <v>- использование пароструйных инжекторов в качестве эффективных теплообменников при утилизации низкопотенциального тепла мятого пара</v>
          </cell>
        </row>
        <row r="75">
          <cell r="X75" t="str">
            <v>- использование пароструйных инжекторов в замен циркуляционных насосов</v>
          </cell>
        </row>
        <row r="76">
          <cell r="X76" t="str">
            <v>- использование тепловых насосов для отопления и ГВС с извлечением низкопотенциального тепла из канализационных стоков и сбросов промышленных вод</v>
          </cell>
        </row>
        <row r="77">
          <cell r="X77" t="str">
            <v>- использование тепловых насосов для отопления и ГВС с извлечением низкопотенциального тепла из тепла подвальных помещений зданий</v>
          </cell>
        </row>
        <row r="78">
          <cell r="X78" t="str">
            <v>- использование тепловых насосов для отопления и ГВС с извлечением низкопотенциального тепла из тепла солнечных коллекторов</v>
          </cell>
        </row>
        <row r="79">
          <cell r="X79" t="str">
            <v>- использование тепловых насосов для отопления и ГВС с извлечением низкопотенциального тепла из теплого выхлопа вытяжной вентиляции</v>
          </cell>
        </row>
        <row r="80">
          <cell r="X80" t="str">
            <v>- использование тепловых насосов для отопления и ГВС с извлечением низкопотенциального тепла из обратной сетевой воды системы отопления</v>
          </cell>
        </row>
        <row r="81">
          <cell r="X81" t="str">
            <v>- использование тепловых насосов для отопления и ГВС с извлечением низкопотенциального тепла из воды моря и открытых водоемов</v>
          </cell>
        </row>
        <row r="82">
          <cell r="X82" t="str">
            <v>- применение газогенераторных установок для замещения природного газа и теплоснабжения</v>
          </cell>
        </row>
        <row r="83">
          <cell r="X83" t="str">
            <v>- использование шахтного метана</v>
          </cell>
        </row>
        <row r="84">
          <cell r="X84" t="str">
            <v>- производство пелет, торфобрикетов и их использование для газогенерации и отопления</v>
          </cell>
        </row>
        <row r="85">
          <cell r="X85" t="str">
            <v>- использование систем распределенной энергетики для организации теплоснабжения населенных пунктов</v>
          </cell>
        </row>
        <row r="86">
          <cell r="X86" t="str">
            <v>- использование мусоросжигающих заводов в системах распределенной энергетики</v>
          </cell>
        </row>
        <row r="87">
          <cell r="X87" t="str">
            <v>- использование тепла обратной сетевой воды для снегоплавильных установок</v>
          </cell>
        </row>
        <row r="88">
          <cell r="X88" t="str">
            <v>Мероприятия по приборному учету (установка, поверка, ремонт/замена вышедших из строя):</v>
          </cell>
        </row>
        <row r="89">
          <cell r="X89" t="str">
            <v>- мероприятия по приборам учета топлива на инфраструктурных объектах</v>
          </cell>
        </row>
        <row r="90">
          <cell r="X90" t="str">
            <v>- мероприятия по приборам учета ЭЭ на инфраструктурных объектах</v>
          </cell>
        </row>
        <row r="91">
          <cell r="X91" t="str">
            <v>- мероприятия по приборам учета воды на инфраструктурных объектах</v>
          </cell>
        </row>
        <row r="92">
          <cell r="X92" t="str">
            <v>- мероприятия по приборам учета ТЭ на инфраструктурных объектах</v>
          </cell>
        </row>
        <row r="93">
          <cell r="X93" t="str">
            <v>- мероприятия по приборам учета ТЭ на хозяйственных объектах</v>
          </cell>
        </row>
        <row r="94">
          <cell r="X94" t="str">
            <v>- мероприятия по приборам учета ЭЭ на хозяйственных объектах</v>
          </cell>
        </row>
        <row r="95">
          <cell r="X95" t="str">
            <v>- мероприятия по приборам учета воды на хозяйственных объектах</v>
          </cell>
        </row>
        <row r="96">
          <cell r="X96" t="str">
            <v>- мероприятия по приборам учета топлива на хозяйственных объектах</v>
          </cell>
        </row>
        <row r="97">
          <cell r="X97" t="str">
            <v>Организационные мероприятия:</v>
          </cell>
        </row>
        <row r="98">
          <cell r="X98" t="str">
            <v>- проведение обязательного энергетического обследования и разработка энергетического паспорта</v>
          </cell>
        </row>
        <row r="99">
          <cell r="X99" t="str">
            <v>- корректировка программы, в том числе значений показателей энергосбережения и повышения энергетической эффективности</v>
          </cell>
        </row>
        <row r="100">
          <cell r="X100" t="str">
            <v>- совершенствование организационной структуры управления энергосбережением и повышением энергетической эффективности</v>
          </cell>
        </row>
        <row r="101">
          <cell r="X101" t="str">
            <v>- разработка механизмов стимулирования энергосбережения и повышения энергетической эффективности для работников организации</v>
          </cell>
        </row>
        <row r="102">
          <cell r="X102" t="str">
            <v>- составление, оформление и анализ топливно-энергетических баланса организации</v>
          </cell>
        </row>
        <row r="103">
          <cell r="X103" t="str">
            <v>- заключение энергосервисных договоров (контрактов)</v>
          </cell>
        </row>
        <row r="104">
          <cell r="X104" t="str">
            <v>- разработка положения об энергосбережении для организации</v>
          </cell>
        </row>
        <row r="105">
          <cell r="X105" t="str">
            <v>- разработка положения о порядке стимулирования работников за экономию энергоресурсов</v>
          </cell>
        </row>
        <row r="106">
          <cell r="X106" t="str">
            <v>- введение в организации ответственных за соблюдение режима экономии и порядка их отчетности по достигнутой экономии</v>
          </cell>
        </row>
        <row r="107">
          <cell r="X107" t="str">
            <v>- информационное обеспечение энергосбережения (регламент совещаний, распространения организационной и технической информации)</v>
          </cell>
        </row>
        <row r="108">
          <cell r="X108" t="str">
            <v>- премирование сотрудников с учетом повышения показателей энергосбережения</v>
          </cell>
        </row>
        <row r="109">
          <cell r="X109" t="str">
            <v>- внедрение специального программного обеспечения в целях поиска очагов неэффективности, мониторинга выполнения программы энергосбережения, а также эффекта от ее мероприятий</v>
          </cell>
        </row>
        <row r="110">
          <cell r="X110" t="str">
            <v>Прочее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esk-artem@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G65"/>
  <sheetViews>
    <sheetView tabSelected="1" zoomScale="90" zoomScaleNormal="90" zoomScaleSheetLayoutView="100" zoomScalePageLayoutView="0" workbookViewId="0" topLeftCell="A1">
      <selection activeCell="D54" sqref="D54:F61"/>
    </sheetView>
  </sheetViews>
  <sheetFormatPr defaultColWidth="9.140625" defaultRowHeight="12.75"/>
  <cols>
    <col min="1" max="1" width="6.28125" style="1" customWidth="1"/>
    <col min="2" max="2" width="31.00390625" style="1" customWidth="1"/>
    <col min="3" max="3" width="12.28125" style="1" customWidth="1"/>
    <col min="4" max="4" width="27.7109375" style="1" customWidth="1"/>
    <col min="5" max="5" width="35.00390625" style="1" customWidth="1"/>
    <col min="6" max="6" width="25.8515625" style="1" customWidth="1"/>
    <col min="7" max="7" width="14.140625" style="1" customWidth="1"/>
    <col min="8" max="16384" width="9.140625" style="1" customWidth="1"/>
  </cols>
  <sheetData>
    <row r="1" spans="1:7" ht="15.75">
      <c r="A1" s="39"/>
      <c r="B1" s="39"/>
      <c r="C1" s="39"/>
      <c r="D1" s="39"/>
      <c r="F1" s="81" t="s">
        <v>0</v>
      </c>
      <c r="G1" s="44"/>
    </row>
    <row r="2" spans="1:7" ht="15.75">
      <c r="A2" s="39"/>
      <c r="B2" s="39"/>
      <c r="C2" s="39"/>
      <c r="D2" s="39"/>
      <c r="F2" s="81" t="s">
        <v>1</v>
      </c>
      <c r="G2" s="44"/>
    </row>
    <row r="3" spans="1:7" ht="15.75">
      <c r="A3" s="39"/>
      <c r="B3" s="39"/>
      <c r="C3" s="39"/>
      <c r="D3" s="39"/>
      <c r="F3" s="81" t="s">
        <v>2</v>
      </c>
      <c r="G3" s="44"/>
    </row>
    <row r="4" spans="1:7" ht="15.75">
      <c r="A4" s="39"/>
      <c r="B4" s="39"/>
      <c r="C4" s="39"/>
      <c r="D4" s="39"/>
      <c r="F4" s="81" t="s">
        <v>3</v>
      </c>
      <c r="G4" s="44"/>
    </row>
    <row r="5" spans="1:7" ht="46.5" customHeight="1">
      <c r="A5" s="77"/>
      <c r="B5" s="77"/>
      <c r="C5" s="77"/>
      <c r="D5" s="77"/>
      <c r="F5" s="77" t="s">
        <v>168</v>
      </c>
      <c r="G5" s="44"/>
    </row>
    <row r="6" spans="1:7" ht="15.75">
      <c r="A6" s="78"/>
      <c r="B6" s="78"/>
      <c r="C6" s="78"/>
      <c r="D6" s="78"/>
      <c r="E6" s="78"/>
      <c r="F6" s="82" t="s">
        <v>180</v>
      </c>
      <c r="G6" s="44"/>
    </row>
    <row r="7" spans="1:7" ht="62.25" customHeight="1">
      <c r="A7" s="212" t="s">
        <v>302</v>
      </c>
      <c r="B7" s="212"/>
      <c r="C7" s="212"/>
      <c r="D7" s="212"/>
      <c r="E7" s="212"/>
      <c r="F7" s="212"/>
      <c r="G7" s="44"/>
    </row>
    <row r="8" spans="1:7" ht="21.75" customHeight="1">
      <c r="A8" s="44"/>
      <c r="B8" s="213" t="s">
        <v>294</v>
      </c>
      <c r="C8" s="213"/>
      <c r="D8" s="213"/>
      <c r="E8" s="213"/>
      <c r="F8" s="213"/>
      <c r="G8" s="44"/>
    </row>
    <row r="9" spans="1:7" ht="15.75">
      <c r="A9" s="44"/>
      <c r="B9" s="214" t="s">
        <v>179</v>
      </c>
      <c r="C9" s="214"/>
      <c r="D9" s="214"/>
      <c r="E9" s="214"/>
      <c r="F9" s="44"/>
      <c r="G9" s="44"/>
    </row>
    <row r="10" spans="1:7" ht="15.75">
      <c r="A10" s="44"/>
      <c r="B10" s="44"/>
      <c r="C10" s="44"/>
      <c r="D10" s="44"/>
      <c r="E10" s="44"/>
      <c r="F10" s="44"/>
      <c r="G10" s="44"/>
    </row>
    <row r="11" spans="1:7" ht="15.75">
      <c r="A11" s="44"/>
      <c r="B11" s="214" t="s">
        <v>169</v>
      </c>
      <c r="C11" s="214"/>
      <c r="D11" s="214"/>
      <c r="E11" s="214"/>
      <c r="F11" s="44"/>
      <c r="G11" s="44"/>
    </row>
    <row r="12" spans="1:7" ht="15.75">
      <c r="A12" s="44"/>
      <c r="B12" s="44"/>
      <c r="C12" s="44"/>
      <c r="D12" s="44"/>
      <c r="E12" s="44"/>
      <c r="F12" s="44"/>
      <c r="G12" s="44"/>
    </row>
    <row r="13" spans="1:7" ht="15.75">
      <c r="A13" s="79" t="s">
        <v>158</v>
      </c>
      <c r="C13" s="79" t="s">
        <v>295</v>
      </c>
      <c r="D13" s="79"/>
      <c r="E13" s="79"/>
      <c r="F13" s="79"/>
      <c r="G13" s="44"/>
    </row>
    <row r="14" spans="1:7" ht="15.75">
      <c r="A14" s="79" t="s">
        <v>159</v>
      </c>
      <c r="C14" s="79" t="s">
        <v>296</v>
      </c>
      <c r="D14" s="79"/>
      <c r="E14" s="79"/>
      <c r="F14" s="79"/>
      <c r="G14" s="44"/>
    </row>
    <row r="15" spans="1:7" ht="15.75">
      <c r="A15" s="79" t="s">
        <v>160</v>
      </c>
      <c r="C15" s="80" t="s">
        <v>303</v>
      </c>
      <c r="D15" s="79"/>
      <c r="E15" s="79"/>
      <c r="F15" s="79"/>
      <c r="G15" s="44"/>
    </row>
    <row r="16" spans="1:7" ht="15.75">
      <c r="A16" s="79" t="s">
        <v>161</v>
      </c>
      <c r="C16" s="80" t="s">
        <v>297</v>
      </c>
      <c r="D16" s="79"/>
      <c r="E16" s="79"/>
      <c r="F16" s="79"/>
      <c r="G16" s="44"/>
    </row>
    <row r="17" spans="1:7" ht="15.75">
      <c r="A17" s="79" t="s">
        <v>162</v>
      </c>
      <c r="C17" s="204">
        <v>2502046690</v>
      </c>
      <c r="D17" s="79"/>
      <c r="E17" s="79"/>
      <c r="F17" s="79"/>
      <c r="G17" s="44"/>
    </row>
    <row r="18" spans="1:7" ht="15.75">
      <c r="A18" s="79" t="s">
        <v>163</v>
      </c>
      <c r="C18" s="204">
        <v>781401001</v>
      </c>
      <c r="D18" s="79"/>
      <c r="E18" s="79"/>
      <c r="F18" s="79"/>
      <c r="G18" s="44"/>
    </row>
    <row r="19" spans="1:7" ht="15.75">
      <c r="A19" s="79" t="s">
        <v>164</v>
      </c>
      <c r="C19" s="80" t="s">
        <v>301</v>
      </c>
      <c r="D19" s="79"/>
      <c r="E19" s="79"/>
      <c r="F19" s="79"/>
      <c r="G19" s="44"/>
    </row>
    <row r="20" spans="1:7" ht="15.75">
      <c r="A20" s="79" t="s">
        <v>165</v>
      </c>
      <c r="C20" s="203" t="s">
        <v>298</v>
      </c>
      <c r="D20" s="79"/>
      <c r="E20" s="79"/>
      <c r="F20" s="79"/>
      <c r="G20" s="44"/>
    </row>
    <row r="21" spans="1:7" ht="15.75">
      <c r="A21" s="79" t="s">
        <v>166</v>
      </c>
      <c r="C21" s="80" t="s">
        <v>299</v>
      </c>
      <c r="E21" s="79"/>
      <c r="F21" s="79"/>
      <c r="G21" s="44"/>
    </row>
    <row r="22" spans="1:7" ht="15.75">
      <c r="A22" s="79" t="s">
        <v>167</v>
      </c>
      <c r="C22" s="80" t="s">
        <v>299</v>
      </c>
      <c r="D22" s="79"/>
      <c r="E22" s="79"/>
      <c r="F22" s="79"/>
      <c r="G22" s="44"/>
    </row>
    <row r="24" spans="1:6" ht="25.5" customHeight="1">
      <c r="A24" s="207" t="s">
        <v>171</v>
      </c>
      <c r="B24" s="208"/>
      <c r="C24" s="208"/>
      <c r="D24" s="208"/>
      <c r="E24" s="208"/>
      <c r="F24" s="208"/>
    </row>
    <row r="26" spans="1:6" s="4" customFormat="1" ht="63">
      <c r="A26" s="29" t="s">
        <v>92</v>
      </c>
      <c r="B26" s="29" t="s">
        <v>93</v>
      </c>
      <c r="C26" s="29" t="s">
        <v>107</v>
      </c>
      <c r="D26" s="29" t="s">
        <v>304</v>
      </c>
      <c r="E26" s="29" t="s">
        <v>305</v>
      </c>
      <c r="F26" s="29" t="s">
        <v>306</v>
      </c>
    </row>
    <row r="27" spans="1:6" s="4" customFormat="1" ht="45" customHeight="1">
      <c r="A27" s="207" t="s">
        <v>170</v>
      </c>
      <c r="B27" s="208"/>
      <c r="C27" s="208"/>
      <c r="D27" s="208"/>
      <c r="E27" s="208"/>
      <c r="F27" s="208"/>
    </row>
    <row r="28" spans="1:6" s="4" customFormat="1" ht="37.5" customHeight="1">
      <c r="A28" s="83" t="s">
        <v>110</v>
      </c>
      <c r="B28" s="85" t="s">
        <v>94</v>
      </c>
      <c r="C28" s="84"/>
      <c r="D28" s="86"/>
      <c r="E28" s="86"/>
      <c r="F28" s="86"/>
    </row>
    <row r="29" spans="1:6" s="7" customFormat="1" ht="28.5" customHeight="1">
      <c r="A29" s="5" t="s">
        <v>101</v>
      </c>
      <c r="B29" s="6" t="s">
        <v>95</v>
      </c>
      <c r="C29" s="2" t="s">
        <v>96</v>
      </c>
      <c r="D29" s="32">
        <v>389033</v>
      </c>
      <c r="E29" s="32">
        <v>365964.23000266065</v>
      </c>
      <c r="F29" s="32">
        <v>663207.8173597982</v>
      </c>
    </row>
    <row r="30" spans="1:6" s="7" customFormat="1" ht="28.5" customHeight="1">
      <c r="A30" s="5" t="s">
        <v>102</v>
      </c>
      <c r="B30" s="6" t="s">
        <v>97</v>
      </c>
      <c r="C30" s="2" t="s">
        <v>96</v>
      </c>
      <c r="D30" s="32">
        <v>16410</v>
      </c>
      <c r="E30" s="32">
        <v>22430</v>
      </c>
      <c r="F30" s="32">
        <v>26555.436960000003</v>
      </c>
    </row>
    <row r="31" spans="1:6" s="7" customFormat="1" ht="59.25" customHeight="1">
      <c r="A31" s="5" t="s">
        <v>103</v>
      </c>
      <c r="B31" s="6" t="s">
        <v>98</v>
      </c>
      <c r="C31" s="2" t="s">
        <v>96</v>
      </c>
      <c r="D31" s="33"/>
      <c r="E31" s="33"/>
      <c r="F31" s="34"/>
    </row>
    <row r="32" spans="1:6" s="7" customFormat="1" ht="27.75" customHeight="1">
      <c r="A32" s="5" t="s">
        <v>104</v>
      </c>
      <c r="B32" s="6" t="s">
        <v>99</v>
      </c>
      <c r="C32" s="2" t="s">
        <v>96</v>
      </c>
      <c r="D32" s="30">
        <v>-17553</v>
      </c>
      <c r="E32" s="30">
        <v>22430</v>
      </c>
      <c r="F32" s="30">
        <v>26555.436960000003</v>
      </c>
    </row>
    <row r="33" spans="1:6" s="7" customFormat="1" ht="41.25" customHeight="1">
      <c r="A33" s="5" t="s">
        <v>111</v>
      </c>
      <c r="B33" s="6" t="s">
        <v>100</v>
      </c>
      <c r="C33" s="2"/>
      <c r="D33" s="33"/>
      <c r="E33" s="33"/>
      <c r="F33" s="33"/>
    </row>
    <row r="34" spans="1:6" s="7" customFormat="1" ht="95.25" customHeight="1">
      <c r="A34" s="5" t="s">
        <v>105</v>
      </c>
      <c r="B34" s="6" t="s">
        <v>152</v>
      </c>
      <c r="C34" s="2" t="s">
        <v>153</v>
      </c>
      <c r="D34" s="30">
        <v>4.218151159413211</v>
      </c>
      <c r="E34" s="30">
        <v>6.129014302801377</v>
      </c>
      <c r="F34" s="30">
        <v>4.0040898591509455</v>
      </c>
    </row>
    <row r="35" spans="1:6" s="7" customFormat="1" ht="58.5" customHeight="1">
      <c r="A35" s="5" t="s">
        <v>112</v>
      </c>
      <c r="B35" s="6" t="s">
        <v>11</v>
      </c>
      <c r="C35" s="2"/>
      <c r="D35" s="33"/>
      <c r="E35" s="33"/>
      <c r="F35" s="33"/>
    </row>
    <row r="36" spans="1:6" s="7" customFormat="1" ht="60.75" customHeight="1">
      <c r="A36" s="5" t="s">
        <v>12</v>
      </c>
      <c r="B36" s="6" t="s">
        <v>13</v>
      </c>
      <c r="C36" s="2" t="s">
        <v>14</v>
      </c>
      <c r="D36" s="33"/>
      <c r="E36" s="33"/>
      <c r="F36" s="33"/>
    </row>
    <row r="37" spans="1:6" s="7" customFormat="1" ht="39.75" customHeight="1">
      <c r="A37" s="5" t="s">
        <v>15</v>
      </c>
      <c r="B37" s="6" t="s">
        <v>16</v>
      </c>
      <c r="C37" s="2" t="s">
        <v>17</v>
      </c>
      <c r="D37" s="33"/>
      <c r="E37" s="33"/>
      <c r="F37" s="33"/>
    </row>
    <row r="38" spans="1:6" s="8" customFormat="1" ht="24.75" customHeight="1">
      <c r="A38" s="3" t="s">
        <v>18</v>
      </c>
      <c r="B38" s="71" t="s">
        <v>19</v>
      </c>
      <c r="C38" s="29" t="s">
        <v>14</v>
      </c>
      <c r="D38" s="205">
        <v>64.786</v>
      </c>
      <c r="E38" s="72">
        <v>64.786</v>
      </c>
      <c r="F38" s="72">
        <v>64.786</v>
      </c>
    </row>
    <row r="39" spans="1:6" s="7" customFormat="1" ht="50.25" customHeight="1">
      <c r="A39" s="5" t="s">
        <v>20</v>
      </c>
      <c r="B39" s="70" t="s">
        <v>21</v>
      </c>
      <c r="C39" s="29" t="s">
        <v>22</v>
      </c>
      <c r="D39" s="30">
        <v>397775.10198000004</v>
      </c>
      <c r="E39" s="30">
        <v>391764.33</v>
      </c>
      <c r="F39" s="30">
        <v>403093.70999999996</v>
      </c>
    </row>
    <row r="40" spans="1:6" s="7" customFormat="1" ht="76.5" customHeight="1">
      <c r="A40" s="5" t="s">
        <v>23</v>
      </c>
      <c r="B40" s="70" t="s">
        <v>24</v>
      </c>
      <c r="C40" s="29" t="s">
        <v>25</v>
      </c>
      <c r="D40" s="30"/>
      <c r="E40" s="30"/>
      <c r="F40" s="30"/>
    </row>
    <row r="41" spans="1:6" s="7" customFormat="1" ht="36" customHeight="1">
      <c r="A41" s="5" t="s">
        <v>26</v>
      </c>
      <c r="B41" s="70" t="s">
        <v>172</v>
      </c>
      <c r="C41" s="29" t="s">
        <v>153</v>
      </c>
      <c r="D41" s="30">
        <v>15.81347528947453</v>
      </c>
      <c r="E41" s="72">
        <v>14.85</v>
      </c>
      <c r="F41" s="30">
        <v>14.850018779338752</v>
      </c>
    </row>
    <row r="42" spans="1:6" s="7" customFormat="1" ht="73.5" customHeight="1">
      <c r="A42" s="5" t="s">
        <v>27</v>
      </c>
      <c r="B42" s="70" t="s">
        <v>28</v>
      </c>
      <c r="C42" s="29"/>
      <c r="D42" s="33"/>
      <c r="E42" s="76"/>
      <c r="F42" s="76"/>
    </row>
    <row r="43" spans="1:6" s="7" customFormat="1" ht="87.75" customHeight="1">
      <c r="A43" s="5" t="s">
        <v>29</v>
      </c>
      <c r="B43" s="70" t="s">
        <v>30</v>
      </c>
      <c r="C43" s="29" t="s">
        <v>17</v>
      </c>
      <c r="D43" s="33"/>
      <c r="E43" s="33"/>
      <c r="F43" s="33"/>
    </row>
    <row r="44" spans="1:6" s="7" customFormat="1" ht="72" customHeight="1">
      <c r="A44" s="5" t="s">
        <v>113</v>
      </c>
      <c r="B44" s="6" t="s">
        <v>31</v>
      </c>
      <c r="C44" s="2"/>
      <c r="D44" s="206">
        <v>325692.68602</v>
      </c>
      <c r="E44" s="30">
        <v>218899.6557326607</v>
      </c>
      <c r="F44" s="30">
        <v>506291.77078720724</v>
      </c>
    </row>
    <row r="45" spans="1:6" s="7" customFormat="1" ht="98.25" customHeight="1">
      <c r="A45" s="5" t="s">
        <v>116</v>
      </c>
      <c r="B45" s="70" t="s">
        <v>154</v>
      </c>
      <c r="C45" s="29" t="s">
        <v>96</v>
      </c>
      <c r="D45" s="206">
        <v>208221.17602</v>
      </c>
      <c r="E45" s="30">
        <v>118083.29</v>
      </c>
      <c r="F45" s="30">
        <v>276546.83306720725</v>
      </c>
    </row>
    <row r="46" spans="1:6" s="7" customFormat="1" ht="27" customHeight="1">
      <c r="A46" s="5"/>
      <c r="B46" s="6" t="s">
        <v>32</v>
      </c>
      <c r="C46" s="2"/>
      <c r="D46" s="33"/>
      <c r="E46" s="32"/>
      <c r="F46" s="32"/>
    </row>
    <row r="47" spans="1:6" s="7" customFormat="1" ht="27" customHeight="1">
      <c r="A47" s="5"/>
      <c r="B47" s="6" t="s">
        <v>33</v>
      </c>
      <c r="C47" s="2"/>
      <c r="D47" s="30">
        <v>97607.21158</v>
      </c>
      <c r="E47" s="30">
        <v>76498.49333858766</v>
      </c>
      <c r="F47" s="30">
        <v>144245.8115772584</v>
      </c>
    </row>
    <row r="48" spans="1:6" s="7" customFormat="1" ht="27" customHeight="1">
      <c r="A48" s="5"/>
      <c r="B48" s="6" t="s">
        <v>34</v>
      </c>
      <c r="C48" s="2"/>
      <c r="D48" s="33"/>
      <c r="E48" s="32"/>
      <c r="F48" s="32"/>
    </row>
    <row r="49" spans="1:6" s="7" customFormat="1" ht="27" customHeight="1">
      <c r="A49" s="5"/>
      <c r="B49" s="6" t="s">
        <v>35</v>
      </c>
      <c r="C49" s="2"/>
      <c r="D49" s="32">
        <v>82440.831805</v>
      </c>
      <c r="E49" s="32">
        <v>27314.51116753166</v>
      </c>
      <c r="F49" s="32">
        <v>105064.2690275522</v>
      </c>
    </row>
    <row r="50" spans="1:6" s="7" customFormat="1" ht="85.5" customHeight="1">
      <c r="A50" s="5" t="s">
        <v>36</v>
      </c>
      <c r="B50" s="70" t="s">
        <v>155</v>
      </c>
      <c r="C50" s="29" t="s">
        <v>96</v>
      </c>
      <c r="D50" s="30">
        <v>65480.62410748305</v>
      </c>
      <c r="E50" s="30">
        <v>48879.06999999999</v>
      </c>
      <c r="F50" s="30">
        <v>153909.00304</v>
      </c>
    </row>
    <row r="51" spans="1:6" s="7" customFormat="1" ht="60.75" customHeight="1">
      <c r="A51" s="5" t="s">
        <v>37</v>
      </c>
      <c r="B51" s="6" t="s">
        <v>38</v>
      </c>
      <c r="C51" s="2" t="s">
        <v>96</v>
      </c>
      <c r="D51" s="30">
        <v>31372.24182472033</v>
      </c>
      <c r="E51" s="30">
        <v>28827.090332660715</v>
      </c>
      <c r="F51" s="30">
        <v>39475.19</v>
      </c>
    </row>
    <row r="52" spans="1:6" s="7" customFormat="1" ht="43.5" customHeight="1">
      <c r="A52" s="5" t="s">
        <v>39</v>
      </c>
      <c r="B52" s="6" t="s">
        <v>40</v>
      </c>
      <c r="C52" s="2" t="s">
        <v>96</v>
      </c>
      <c r="D52" s="30">
        <v>20618.644067796613</v>
      </c>
      <c r="E52" s="30">
        <v>22430</v>
      </c>
      <c r="F52" s="30">
        <v>26555.436960000003</v>
      </c>
    </row>
    <row r="53" spans="1:6" s="7" customFormat="1" ht="70.5" customHeight="1">
      <c r="A53" s="5" t="s">
        <v>41</v>
      </c>
      <c r="B53" s="6" t="s">
        <v>42</v>
      </c>
      <c r="C53" s="2"/>
      <c r="D53" s="209" t="s">
        <v>300</v>
      </c>
      <c r="E53" s="210"/>
      <c r="F53" s="211"/>
    </row>
    <row r="54" spans="1:6" s="7" customFormat="1" ht="30.75" customHeight="1">
      <c r="A54" s="75" t="s">
        <v>88</v>
      </c>
      <c r="B54" s="6" t="s">
        <v>44</v>
      </c>
      <c r="C54" s="2" t="s">
        <v>108</v>
      </c>
      <c r="D54" s="73">
        <v>8336.97</v>
      </c>
      <c r="E54" s="73">
        <v>8278.43</v>
      </c>
      <c r="F54" s="73">
        <v>8336.97</v>
      </c>
    </row>
    <row r="55" spans="1:6" s="7" customFormat="1" ht="57" customHeight="1">
      <c r="A55" s="5" t="s">
        <v>156</v>
      </c>
      <c r="B55" s="6" t="s">
        <v>157</v>
      </c>
      <c r="C55" s="2" t="s">
        <v>45</v>
      </c>
      <c r="D55" s="30">
        <v>24.975641752339282</v>
      </c>
      <c r="E55" s="30">
        <v>14.26397155016108</v>
      </c>
      <c r="F55" s="30">
        <v>33.17114408078802</v>
      </c>
    </row>
    <row r="56" spans="1:6" s="7" customFormat="1" ht="72.75" customHeight="1">
      <c r="A56" s="5" t="s">
        <v>114</v>
      </c>
      <c r="B56" s="6" t="s">
        <v>46</v>
      </c>
      <c r="C56" s="2"/>
      <c r="D56" s="33"/>
      <c r="E56" s="33"/>
      <c r="F56" s="33"/>
    </row>
    <row r="57" spans="1:6" s="7" customFormat="1" ht="41.25" customHeight="1">
      <c r="A57" s="5" t="s">
        <v>47</v>
      </c>
      <c r="B57" s="6" t="s">
        <v>48</v>
      </c>
      <c r="C57" s="2" t="s">
        <v>115</v>
      </c>
      <c r="D57" s="32">
        <v>175</v>
      </c>
      <c r="E57" s="32">
        <v>152</v>
      </c>
      <c r="F57" s="32">
        <v>175</v>
      </c>
    </row>
    <row r="58" spans="1:6" s="7" customFormat="1" ht="54" customHeight="1">
      <c r="A58" s="5" t="s">
        <v>49</v>
      </c>
      <c r="B58" s="6" t="s">
        <v>50</v>
      </c>
      <c r="C58" s="2" t="s">
        <v>51</v>
      </c>
      <c r="D58" s="32">
        <v>46.479624561904764</v>
      </c>
      <c r="E58" s="32">
        <v>41.939963453173064</v>
      </c>
      <c r="F58" s="32">
        <v>68.68848170345639</v>
      </c>
    </row>
    <row r="59" spans="1:6" s="7" customFormat="1" ht="59.25" customHeight="1">
      <c r="A59" s="5" t="s">
        <v>52</v>
      </c>
      <c r="B59" s="6" t="s">
        <v>53</v>
      </c>
      <c r="C59" s="2"/>
      <c r="D59" s="38" t="s">
        <v>43</v>
      </c>
      <c r="E59" s="72" t="s">
        <v>43</v>
      </c>
      <c r="F59" s="72" t="s">
        <v>43</v>
      </c>
    </row>
    <row r="60" spans="1:6" s="7" customFormat="1" ht="63" customHeight="1">
      <c r="A60" s="5" t="s">
        <v>10</v>
      </c>
      <c r="B60" s="6" t="s">
        <v>54</v>
      </c>
      <c r="C60" s="2" t="s">
        <v>96</v>
      </c>
      <c r="D60" s="72"/>
      <c r="E60" s="72"/>
      <c r="F60" s="72"/>
    </row>
    <row r="61" spans="1:6" s="7" customFormat="1" ht="81" customHeight="1">
      <c r="A61" s="5" t="s">
        <v>141</v>
      </c>
      <c r="B61" s="6" t="s">
        <v>55</v>
      </c>
      <c r="C61" s="2" t="s">
        <v>96</v>
      </c>
      <c r="D61" s="74">
        <v>600</v>
      </c>
      <c r="E61" s="74">
        <v>600</v>
      </c>
      <c r="F61" s="74">
        <v>600</v>
      </c>
    </row>
    <row r="62" s="10" customFormat="1" ht="19.5" customHeight="1">
      <c r="A62" s="9" t="s">
        <v>56</v>
      </c>
    </row>
    <row r="63" s="10" customFormat="1" ht="15.75">
      <c r="A63" s="9" t="s">
        <v>57</v>
      </c>
    </row>
    <row r="64" s="10" customFormat="1" ht="15.75">
      <c r="A64" s="9" t="s">
        <v>58</v>
      </c>
    </row>
    <row r="65" s="10" customFormat="1" ht="15.75">
      <c r="A65" s="9" t="s">
        <v>59</v>
      </c>
    </row>
  </sheetData>
  <sheetProtection selectLockedCells="1" selectUnlockedCells="1"/>
  <mergeCells count="7">
    <mergeCell ref="A24:F24"/>
    <mergeCell ref="D53:F53"/>
    <mergeCell ref="A7:F7"/>
    <mergeCell ref="B8:F8"/>
    <mergeCell ref="B9:E9"/>
    <mergeCell ref="B11:E11"/>
    <mergeCell ref="A27:F27"/>
  </mergeCells>
  <hyperlinks>
    <hyperlink ref="C20" r:id="rId1" display="aesk-artem@yandex.ru "/>
  </hyperlinks>
  <printOptions/>
  <pageMargins left="0.7874015748031497" right="0.7086614173228347" top="0.7874015748031497" bottom="0.3937007874015748" header="0.1968503937007874" footer="0.1968503937007874"/>
  <pageSetup horizontalDpi="600" verticalDpi="600" orientation="portrait" paperSize="9" scale="66"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3" max="255" man="1"/>
  </rowBreaks>
</worksheet>
</file>

<file path=xl/worksheets/sheet2.xml><?xml version="1.0" encoding="utf-8"?>
<worksheet xmlns="http://schemas.openxmlformats.org/spreadsheetml/2006/main" xmlns:r="http://schemas.openxmlformats.org/officeDocument/2006/relationships">
  <dimension ref="A4:I47"/>
  <sheetViews>
    <sheetView zoomScaleSheetLayoutView="100" zoomScalePageLayoutView="0" workbookViewId="0" topLeftCell="A1">
      <selection activeCell="G22" sqref="G22"/>
    </sheetView>
  </sheetViews>
  <sheetFormatPr defaultColWidth="9.140625" defaultRowHeight="12.75"/>
  <cols>
    <col min="1" max="1" width="7.7109375" style="1" customWidth="1"/>
    <col min="2" max="2" width="45.00390625" style="1" customWidth="1"/>
    <col min="3" max="3" width="18.57421875" style="1" customWidth="1"/>
    <col min="4" max="4" width="10.57421875" style="1" customWidth="1"/>
    <col min="5" max="5" width="11.140625" style="1" customWidth="1"/>
    <col min="6" max="6" width="10.140625" style="1" customWidth="1"/>
    <col min="7" max="7" width="10.7109375" style="1" customWidth="1"/>
    <col min="8" max="8" width="10.421875" style="1" customWidth="1"/>
    <col min="9" max="9" width="10.28125" style="1" customWidth="1"/>
    <col min="10" max="16384" width="9.140625" style="1" customWidth="1"/>
  </cols>
  <sheetData>
    <row r="4" spans="1:9" ht="16.5">
      <c r="A4" s="207" t="s">
        <v>181</v>
      </c>
      <c r="B4" s="207"/>
      <c r="C4" s="207"/>
      <c r="D4" s="207"/>
      <c r="E4" s="207"/>
      <c r="F4" s="207"/>
      <c r="G4" s="207"/>
      <c r="H4" s="207"/>
      <c r="I4" s="207"/>
    </row>
    <row r="7" spans="1:9" s="12" customFormat="1" ht="78" customHeight="1">
      <c r="A7" s="215" t="s">
        <v>92</v>
      </c>
      <c r="B7" s="215" t="s">
        <v>93</v>
      </c>
      <c r="C7" s="215" t="s">
        <v>60</v>
      </c>
      <c r="D7" s="215" t="s">
        <v>307</v>
      </c>
      <c r="E7" s="215"/>
      <c r="F7" s="215" t="s">
        <v>308</v>
      </c>
      <c r="G7" s="215"/>
      <c r="H7" s="215" t="s">
        <v>309</v>
      </c>
      <c r="I7" s="215"/>
    </row>
    <row r="8" spans="1:9" s="13" customFormat="1" ht="43.5" customHeight="1">
      <c r="A8" s="215"/>
      <c r="B8" s="215"/>
      <c r="C8" s="215"/>
      <c r="D8" s="11" t="s">
        <v>182</v>
      </c>
      <c r="E8" s="11" t="s">
        <v>183</v>
      </c>
      <c r="F8" s="11" t="s">
        <v>182</v>
      </c>
      <c r="G8" s="11" t="s">
        <v>183</v>
      </c>
      <c r="H8" s="11" t="s">
        <v>182</v>
      </c>
      <c r="I8" s="11" t="s">
        <v>183</v>
      </c>
    </row>
    <row r="9" spans="1:9" s="13" customFormat="1" ht="39" customHeight="1">
      <c r="A9" s="14" t="s">
        <v>110</v>
      </c>
      <c r="B9" s="15" t="s">
        <v>185</v>
      </c>
      <c r="C9" s="11"/>
      <c r="D9" s="19"/>
      <c r="E9" s="19"/>
      <c r="F9" s="19"/>
      <c r="G9" s="19"/>
      <c r="H9" s="19"/>
      <c r="I9" s="19"/>
    </row>
    <row r="10" spans="1:9" s="13" customFormat="1" ht="39" customHeight="1">
      <c r="A10" s="14" t="s">
        <v>101</v>
      </c>
      <c r="B10" s="15" t="s">
        <v>186</v>
      </c>
      <c r="C10" s="11"/>
      <c r="D10" s="19"/>
      <c r="E10" s="19"/>
      <c r="F10" s="19"/>
      <c r="G10" s="19"/>
      <c r="H10" s="19"/>
      <c r="I10" s="19"/>
    </row>
    <row r="11" spans="1:9" s="13" customFormat="1" ht="173.25" customHeight="1">
      <c r="A11" s="14"/>
      <c r="B11" s="15" t="s">
        <v>61</v>
      </c>
      <c r="C11" s="11" t="s">
        <v>184</v>
      </c>
      <c r="D11" s="19"/>
      <c r="E11" s="19"/>
      <c r="F11" s="19"/>
      <c r="G11" s="19"/>
      <c r="H11" s="19"/>
      <c r="I11" s="19"/>
    </row>
    <row r="12" spans="1:9" s="13" customFormat="1" ht="187.5" customHeight="1">
      <c r="A12" s="14"/>
      <c r="B12" s="15" t="s">
        <v>173</v>
      </c>
      <c r="C12" s="11" t="s">
        <v>187</v>
      </c>
      <c r="D12" s="19"/>
      <c r="E12" s="19"/>
      <c r="F12" s="19"/>
      <c r="G12" s="19"/>
      <c r="H12" s="19"/>
      <c r="I12" s="19"/>
    </row>
    <row r="13" spans="1:9" s="13" customFormat="1" ht="39" customHeight="1">
      <c r="A13" s="14" t="s">
        <v>102</v>
      </c>
      <c r="B13" s="15" t="s">
        <v>62</v>
      </c>
      <c r="C13" s="11"/>
      <c r="D13" s="19"/>
      <c r="E13" s="19"/>
      <c r="F13" s="19"/>
      <c r="G13" s="19"/>
      <c r="H13" s="19"/>
      <c r="I13" s="19"/>
    </row>
    <row r="14" spans="1:9" s="13" customFormat="1" ht="25.5" customHeight="1">
      <c r="A14" s="14"/>
      <c r="B14" s="15" t="s">
        <v>174</v>
      </c>
      <c r="C14" s="11"/>
      <c r="D14" s="19"/>
      <c r="E14" s="19"/>
      <c r="F14" s="19"/>
      <c r="G14" s="19"/>
      <c r="H14" s="19"/>
      <c r="I14" s="19"/>
    </row>
    <row r="15" spans="1:9" s="13" customFormat="1" ht="33.75" customHeight="1">
      <c r="A15" s="14"/>
      <c r="B15" s="15" t="s">
        <v>63</v>
      </c>
      <c r="C15" s="11" t="s">
        <v>184</v>
      </c>
      <c r="D15" s="35">
        <v>388550.8957271565</v>
      </c>
      <c r="E15" s="35">
        <v>454471.82130497886</v>
      </c>
      <c r="F15" s="35">
        <v>282038.715</v>
      </c>
      <c r="G15" s="35">
        <v>281016.522</v>
      </c>
      <c r="H15" s="35">
        <v>604005.3384145612</v>
      </c>
      <c r="I15" s="35">
        <v>706479.9212815462</v>
      </c>
    </row>
    <row r="16" spans="1:9" s="13" customFormat="1" ht="31.5" customHeight="1">
      <c r="A16" s="14"/>
      <c r="B16" s="15" t="s">
        <v>64</v>
      </c>
      <c r="C16" s="11" t="s">
        <v>187</v>
      </c>
      <c r="D16" s="36">
        <v>267.8852574845352</v>
      </c>
      <c r="E16" s="36">
        <v>458.49841265100787</v>
      </c>
      <c r="F16" s="37">
        <v>327.09</v>
      </c>
      <c r="G16" s="37">
        <v>344.57</v>
      </c>
      <c r="H16" s="36">
        <v>337.99699470865454</v>
      </c>
      <c r="I16" s="36">
        <v>356.0621086025453</v>
      </c>
    </row>
    <row r="17" spans="1:9" s="13" customFormat="1" ht="25.5" customHeight="1">
      <c r="A17" s="14"/>
      <c r="B17" s="15" t="s">
        <v>65</v>
      </c>
      <c r="C17" s="11" t="s">
        <v>187</v>
      </c>
      <c r="D17" s="36">
        <v>926.0003757297984</v>
      </c>
      <c r="E17" s="36">
        <v>1250.4747800026505</v>
      </c>
      <c r="F17" s="37">
        <v>827.17</v>
      </c>
      <c r="G17" s="37">
        <v>843.78</v>
      </c>
      <c r="H17" s="36">
        <v>1375.308736094722</v>
      </c>
      <c r="I17" s="36">
        <v>1571.3493157097355</v>
      </c>
    </row>
    <row r="18" spans="1:9" s="13" customFormat="1" ht="26.25" customHeight="1">
      <c r="A18" s="14" t="s">
        <v>111</v>
      </c>
      <c r="B18" s="15" t="s">
        <v>148</v>
      </c>
      <c r="C18" s="11" t="s">
        <v>187</v>
      </c>
      <c r="D18" s="19"/>
      <c r="E18" s="19"/>
      <c r="F18" s="19"/>
      <c r="G18" s="19"/>
      <c r="H18" s="19"/>
      <c r="I18" s="19"/>
    </row>
    <row r="19" spans="1:9" s="13" customFormat="1" ht="25.5" customHeight="1">
      <c r="A19" s="14" t="s">
        <v>112</v>
      </c>
      <c r="B19" s="15" t="s">
        <v>66</v>
      </c>
      <c r="C19" s="11"/>
      <c r="D19" s="19"/>
      <c r="E19" s="19"/>
      <c r="F19" s="19"/>
      <c r="G19" s="19"/>
      <c r="H19" s="19"/>
      <c r="I19" s="19"/>
    </row>
    <row r="20" spans="1:9" s="13" customFormat="1" ht="31.5" customHeight="1">
      <c r="A20" s="14" t="s">
        <v>12</v>
      </c>
      <c r="B20" s="15" t="s">
        <v>149</v>
      </c>
      <c r="C20" s="11" t="s">
        <v>187</v>
      </c>
      <c r="D20" s="19"/>
      <c r="E20" s="19"/>
      <c r="F20" s="19"/>
      <c r="G20" s="19"/>
      <c r="H20" s="19"/>
      <c r="I20" s="19"/>
    </row>
    <row r="21" spans="1:9" s="13" customFormat="1" ht="66.75" customHeight="1">
      <c r="A21" s="14" t="s">
        <v>15</v>
      </c>
      <c r="B21" s="15" t="s">
        <v>175</v>
      </c>
      <c r="C21" s="11" t="s">
        <v>187</v>
      </c>
      <c r="D21" s="19"/>
      <c r="E21" s="19"/>
      <c r="F21" s="19"/>
      <c r="G21" s="19"/>
      <c r="H21" s="19"/>
      <c r="I21" s="19"/>
    </row>
    <row r="22" spans="1:9" s="13" customFormat="1" ht="27" customHeight="1">
      <c r="A22" s="14" t="s">
        <v>18</v>
      </c>
      <c r="B22" s="69" t="s">
        <v>150</v>
      </c>
      <c r="C22" s="11" t="s">
        <v>187</v>
      </c>
      <c r="D22" s="19"/>
      <c r="E22" s="19"/>
      <c r="F22" s="19"/>
      <c r="G22" s="19"/>
      <c r="H22" s="19"/>
      <c r="I22" s="19"/>
    </row>
    <row r="23" spans="1:9" s="13" customFormat="1" ht="27" customHeight="1">
      <c r="A23" s="14"/>
      <c r="B23" s="15" t="s">
        <v>151</v>
      </c>
      <c r="C23" s="11" t="s">
        <v>187</v>
      </c>
      <c r="D23" s="19"/>
      <c r="E23" s="19"/>
      <c r="F23" s="19"/>
      <c r="G23" s="19"/>
      <c r="H23" s="19"/>
      <c r="I23" s="19"/>
    </row>
    <row r="24" spans="1:9" s="13" customFormat="1" ht="27" customHeight="1">
      <c r="A24" s="14"/>
      <c r="B24" s="15" t="s">
        <v>67</v>
      </c>
      <c r="C24" s="11" t="s">
        <v>187</v>
      </c>
      <c r="D24" s="19"/>
      <c r="E24" s="19"/>
      <c r="F24" s="19"/>
      <c r="G24" s="19"/>
      <c r="H24" s="19"/>
      <c r="I24" s="19"/>
    </row>
    <row r="25" spans="1:9" s="13" customFormat="1" ht="27" customHeight="1">
      <c r="A25" s="14"/>
      <c r="B25" s="15" t="s">
        <v>68</v>
      </c>
      <c r="C25" s="11" t="s">
        <v>187</v>
      </c>
      <c r="D25" s="19"/>
      <c r="E25" s="19"/>
      <c r="F25" s="19"/>
      <c r="G25" s="19"/>
      <c r="H25" s="19"/>
      <c r="I25" s="19"/>
    </row>
    <row r="26" spans="1:9" s="13" customFormat="1" ht="27" customHeight="1">
      <c r="A26" s="14" t="s">
        <v>113</v>
      </c>
      <c r="B26" s="15" t="s">
        <v>69</v>
      </c>
      <c r="C26" s="11"/>
      <c r="D26" s="19"/>
      <c r="E26" s="19"/>
      <c r="F26" s="19"/>
      <c r="G26" s="19"/>
      <c r="H26" s="19"/>
      <c r="I26" s="19"/>
    </row>
    <row r="27" spans="1:9" s="13" customFormat="1" ht="27" customHeight="1">
      <c r="A27" s="14" t="s">
        <v>116</v>
      </c>
      <c r="B27" s="15" t="s">
        <v>70</v>
      </c>
      <c r="C27" s="11" t="s">
        <v>188</v>
      </c>
      <c r="D27" s="19"/>
      <c r="E27" s="19"/>
      <c r="F27" s="19"/>
      <c r="G27" s="19"/>
      <c r="H27" s="19"/>
      <c r="I27" s="19"/>
    </row>
    <row r="28" spans="1:9" s="13" customFormat="1" ht="27" customHeight="1">
      <c r="A28" s="14"/>
      <c r="B28" s="15" t="s">
        <v>71</v>
      </c>
      <c r="C28" s="11" t="s">
        <v>188</v>
      </c>
      <c r="D28" s="19"/>
      <c r="E28" s="19"/>
      <c r="F28" s="19"/>
      <c r="G28" s="19"/>
      <c r="H28" s="19"/>
      <c r="I28" s="19"/>
    </row>
    <row r="29" spans="1:9" s="13" customFormat="1" ht="33.75" customHeight="1">
      <c r="A29" s="14" t="s">
        <v>36</v>
      </c>
      <c r="B29" s="15" t="s">
        <v>72</v>
      </c>
      <c r="C29" s="11" t="s">
        <v>184</v>
      </c>
      <c r="D29" s="19"/>
      <c r="E29" s="19"/>
      <c r="F29" s="19"/>
      <c r="G29" s="19"/>
      <c r="H29" s="19"/>
      <c r="I29" s="19"/>
    </row>
    <row r="30" spans="1:9" s="13" customFormat="1" ht="30" customHeight="1">
      <c r="A30" s="14" t="s">
        <v>37</v>
      </c>
      <c r="B30" s="15" t="s">
        <v>73</v>
      </c>
      <c r="C30" s="11" t="s">
        <v>176</v>
      </c>
      <c r="D30" s="19"/>
      <c r="E30" s="19"/>
      <c r="F30" s="19"/>
      <c r="G30" s="19"/>
      <c r="H30" s="19"/>
      <c r="I30" s="19"/>
    </row>
    <row r="31" spans="1:9" s="13" customFormat="1" ht="40.5" customHeight="1">
      <c r="A31" s="14" t="s">
        <v>74</v>
      </c>
      <c r="B31" s="15" t="s">
        <v>75</v>
      </c>
      <c r="C31" s="11" t="s">
        <v>176</v>
      </c>
      <c r="D31" s="19"/>
      <c r="E31" s="19"/>
      <c r="F31" s="19"/>
      <c r="G31" s="19"/>
      <c r="H31" s="19"/>
      <c r="I31" s="19"/>
    </row>
    <row r="32" spans="1:9" s="13" customFormat="1" ht="27" customHeight="1">
      <c r="A32" s="14" t="s">
        <v>76</v>
      </c>
      <c r="B32" s="15" t="s">
        <v>77</v>
      </c>
      <c r="C32" s="11" t="s">
        <v>176</v>
      </c>
      <c r="D32" s="19"/>
      <c r="E32" s="19"/>
      <c r="F32" s="19"/>
      <c r="G32" s="19"/>
      <c r="H32" s="19"/>
      <c r="I32" s="19"/>
    </row>
    <row r="33" spans="1:9" s="13" customFormat="1" ht="27" customHeight="1">
      <c r="A33" s="14"/>
      <c r="B33" s="15" t="s">
        <v>78</v>
      </c>
      <c r="C33" s="11" t="s">
        <v>176</v>
      </c>
      <c r="D33" s="19"/>
      <c r="E33" s="19"/>
      <c r="F33" s="19"/>
      <c r="G33" s="19"/>
      <c r="H33" s="19"/>
      <c r="I33" s="19"/>
    </row>
    <row r="34" spans="1:9" s="13" customFormat="1" ht="27" customHeight="1">
      <c r="A34" s="14"/>
      <c r="B34" s="15" t="s">
        <v>79</v>
      </c>
      <c r="C34" s="11" t="s">
        <v>176</v>
      </c>
      <c r="D34" s="19"/>
      <c r="E34" s="19"/>
      <c r="F34" s="19"/>
      <c r="G34" s="19"/>
      <c r="H34" s="19"/>
      <c r="I34" s="19"/>
    </row>
    <row r="35" spans="1:9" s="13" customFormat="1" ht="27" customHeight="1">
      <c r="A35" s="14"/>
      <c r="B35" s="15" t="s">
        <v>80</v>
      </c>
      <c r="C35" s="11" t="s">
        <v>176</v>
      </c>
      <c r="D35" s="19"/>
      <c r="E35" s="19"/>
      <c r="F35" s="19"/>
      <c r="G35" s="19"/>
      <c r="H35" s="19"/>
      <c r="I35" s="19"/>
    </row>
    <row r="36" spans="1:9" s="13" customFormat="1" ht="27" customHeight="1">
      <c r="A36" s="14"/>
      <c r="B36" s="15" t="s">
        <v>81</v>
      </c>
      <c r="C36" s="11" t="s">
        <v>176</v>
      </c>
      <c r="D36" s="19"/>
      <c r="E36" s="19"/>
      <c r="F36" s="19"/>
      <c r="G36" s="19"/>
      <c r="H36" s="19"/>
      <c r="I36" s="19"/>
    </row>
    <row r="37" spans="1:9" s="13" customFormat="1" ht="27" customHeight="1">
      <c r="A37" s="14" t="s">
        <v>82</v>
      </c>
      <c r="B37" s="15" t="s">
        <v>83</v>
      </c>
      <c r="C37" s="11" t="s">
        <v>176</v>
      </c>
      <c r="D37" s="19"/>
      <c r="E37" s="19"/>
      <c r="F37" s="19"/>
      <c r="G37" s="19"/>
      <c r="H37" s="19"/>
      <c r="I37" s="19"/>
    </row>
    <row r="38" spans="1:9" s="13" customFormat="1" ht="27" customHeight="1">
      <c r="A38" s="14" t="s">
        <v>39</v>
      </c>
      <c r="B38" s="15" t="s">
        <v>84</v>
      </c>
      <c r="C38" s="11"/>
      <c r="D38" s="19"/>
      <c r="E38" s="19"/>
      <c r="F38" s="19"/>
      <c r="G38" s="19"/>
      <c r="H38" s="19"/>
      <c r="I38" s="19"/>
    </row>
    <row r="39" spans="1:9" s="13" customFormat="1" ht="31.5" customHeight="1">
      <c r="A39" s="14" t="s">
        <v>41</v>
      </c>
      <c r="B39" s="15" t="s">
        <v>85</v>
      </c>
      <c r="C39" s="11" t="s">
        <v>177</v>
      </c>
      <c r="D39" s="19"/>
      <c r="E39" s="19"/>
      <c r="F39" s="19"/>
      <c r="G39" s="19"/>
      <c r="H39" s="19"/>
      <c r="I39" s="19"/>
    </row>
    <row r="40" spans="1:9" s="13" customFormat="1" ht="33" customHeight="1">
      <c r="A40" s="14" t="s">
        <v>86</v>
      </c>
      <c r="B40" s="15" t="s">
        <v>87</v>
      </c>
      <c r="C40" s="11" t="s">
        <v>176</v>
      </c>
      <c r="D40" s="19"/>
      <c r="E40" s="19"/>
      <c r="F40" s="19"/>
      <c r="G40" s="19"/>
      <c r="H40" s="19"/>
      <c r="I40" s="19"/>
    </row>
    <row r="41" spans="1:9" s="13" customFormat="1" ht="27" customHeight="1">
      <c r="A41" s="14" t="s">
        <v>88</v>
      </c>
      <c r="B41" s="15" t="s">
        <v>89</v>
      </c>
      <c r="C41" s="11" t="s">
        <v>178</v>
      </c>
      <c r="D41" s="19"/>
      <c r="E41" s="19"/>
      <c r="F41" s="19"/>
      <c r="G41" s="19"/>
      <c r="H41" s="19"/>
      <c r="I41" s="19"/>
    </row>
    <row r="42" spans="1:9" s="13" customFormat="1" ht="27" customHeight="1">
      <c r="A42" s="14"/>
      <c r="B42" s="15" t="s">
        <v>90</v>
      </c>
      <c r="C42" s="11" t="s">
        <v>178</v>
      </c>
      <c r="D42" s="19"/>
      <c r="E42" s="19"/>
      <c r="F42" s="19"/>
      <c r="G42" s="19"/>
      <c r="H42" s="19"/>
      <c r="I42" s="19"/>
    </row>
    <row r="43" spans="1:9" s="13" customFormat="1" ht="27" customHeight="1">
      <c r="A43" s="14"/>
      <c r="B43" s="15" t="s">
        <v>91</v>
      </c>
      <c r="C43" s="11" t="s">
        <v>178</v>
      </c>
      <c r="D43" s="19"/>
      <c r="E43" s="19"/>
      <c r="F43" s="19"/>
      <c r="G43" s="19"/>
      <c r="H43" s="19"/>
      <c r="I43" s="19"/>
    </row>
    <row r="44" spans="1:2" ht="16.5">
      <c r="A44" s="9" t="s">
        <v>56</v>
      </c>
      <c r="B44" s="10"/>
    </row>
    <row r="45" spans="1:2" ht="16.5">
      <c r="A45" s="9" t="s">
        <v>57</v>
      </c>
      <c r="B45" s="10"/>
    </row>
    <row r="46" spans="1:2" ht="16.5">
      <c r="A46" s="9" t="s">
        <v>58</v>
      </c>
      <c r="B46" s="10"/>
    </row>
    <row r="47" spans="1:2" ht="16.5">
      <c r="A47" s="9" t="s">
        <v>59</v>
      </c>
      <c r="B47" s="10"/>
    </row>
  </sheetData>
  <sheetProtection/>
  <mergeCells count="7">
    <mergeCell ref="A4:I4"/>
    <mergeCell ref="A7:A8"/>
    <mergeCell ref="B7:B8"/>
    <mergeCell ref="C7:C8"/>
    <mergeCell ref="D7:E7"/>
    <mergeCell ref="F7:G7"/>
    <mergeCell ref="H7:I7"/>
  </mergeCells>
  <printOptions/>
  <pageMargins left="0.7874015748031497" right="0.7086614173228347" top="0.7874015748031497" bottom="0.3937007874015748" header="0.1968503937007874" footer="0.1968503937007874"/>
  <pageSetup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rgb="FFFF0000"/>
  </sheetPr>
  <dimension ref="A1:N28"/>
  <sheetViews>
    <sheetView zoomScaleSheetLayoutView="100" zoomScalePageLayoutView="0" workbookViewId="0" topLeftCell="A1">
      <selection activeCell="J35" sqref="J35"/>
    </sheetView>
  </sheetViews>
  <sheetFormatPr defaultColWidth="8.7109375" defaultRowHeight="12.75"/>
  <cols>
    <col min="1" max="1" width="24.421875" style="22" customWidth="1"/>
    <col min="2" max="2" width="8.421875" style="22" customWidth="1"/>
    <col min="3" max="3" width="7.7109375" style="16" customWidth="1"/>
    <col min="4" max="4" width="8.7109375" style="16" customWidth="1"/>
    <col min="5" max="5" width="8.7109375" style="22" customWidth="1"/>
    <col min="6" max="6" width="7.00390625" style="16" customWidth="1"/>
    <col min="7" max="7" width="7.57421875" style="16" customWidth="1"/>
    <col min="8" max="8" width="7.28125" style="16" customWidth="1"/>
    <col min="9" max="9" width="5.8515625" style="16" customWidth="1"/>
    <col min="10" max="10" width="7.28125" style="16" customWidth="1"/>
    <col min="11" max="11" width="7.140625" style="16" customWidth="1"/>
    <col min="12" max="12" width="9.8515625" style="16" customWidth="1"/>
    <col min="13" max="13" width="9.57421875" style="16" customWidth="1"/>
    <col min="14" max="16384" width="8.7109375" style="16" customWidth="1"/>
  </cols>
  <sheetData>
    <row r="1" ht="15.75">
      <c r="M1" s="43" t="s">
        <v>5</v>
      </c>
    </row>
    <row r="3" spans="1:13" ht="15.75">
      <c r="A3" s="229" t="s">
        <v>139</v>
      </c>
      <c r="B3" s="229"/>
      <c r="C3" s="229"/>
      <c r="D3" s="229"/>
      <c r="E3" s="229"/>
      <c r="F3" s="229"/>
      <c r="G3" s="229"/>
      <c r="H3" s="229"/>
      <c r="I3" s="229"/>
      <c r="J3" s="229"/>
      <c r="K3" s="229"/>
      <c r="L3" s="229"/>
      <c r="M3" s="229"/>
    </row>
    <row r="5" spans="1:13" ht="30.75" customHeight="1">
      <c r="A5" s="230" t="s">
        <v>123</v>
      </c>
      <c r="B5" s="228" t="s">
        <v>122</v>
      </c>
      <c r="C5" s="228" t="s">
        <v>121</v>
      </c>
      <c r="D5" s="228" t="s">
        <v>120</v>
      </c>
      <c r="E5" s="228" t="s">
        <v>8</v>
      </c>
      <c r="F5" s="218" t="s">
        <v>140</v>
      </c>
      <c r="G5" s="219"/>
      <c r="H5" s="219"/>
      <c r="I5" s="219"/>
      <c r="J5" s="219"/>
      <c r="K5" s="219"/>
      <c r="L5" s="220" t="s">
        <v>119</v>
      </c>
      <c r="M5" s="221"/>
    </row>
    <row r="6" spans="1:13" ht="25.5" customHeight="1">
      <c r="A6" s="230"/>
      <c r="B6" s="228"/>
      <c r="C6" s="228"/>
      <c r="D6" s="228"/>
      <c r="E6" s="228"/>
      <c r="F6" s="218" t="s">
        <v>132</v>
      </c>
      <c r="G6" s="219"/>
      <c r="H6" s="219"/>
      <c r="I6" s="219"/>
      <c r="J6" s="219"/>
      <c r="K6" s="219"/>
      <c r="L6" s="222"/>
      <c r="M6" s="223"/>
    </row>
    <row r="7" spans="1:13" ht="42" customHeight="1">
      <c r="A7" s="230"/>
      <c r="B7" s="228"/>
      <c r="C7" s="228"/>
      <c r="D7" s="228"/>
      <c r="E7" s="228"/>
      <c r="F7" s="228" t="s">
        <v>130</v>
      </c>
      <c r="G7" s="228"/>
      <c r="H7" s="228" t="s">
        <v>131</v>
      </c>
      <c r="I7" s="228"/>
      <c r="J7" s="228" t="s">
        <v>133</v>
      </c>
      <c r="K7" s="228"/>
      <c r="L7" s="224"/>
      <c r="M7" s="225"/>
    </row>
    <row r="8" spans="1:13" ht="31.5" customHeight="1">
      <c r="A8" s="230"/>
      <c r="B8" s="228"/>
      <c r="C8" s="228"/>
      <c r="D8" s="228"/>
      <c r="E8" s="228"/>
      <c r="F8" s="45" t="s">
        <v>9</v>
      </c>
      <c r="G8" s="45" t="s">
        <v>108</v>
      </c>
      <c r="H8" s="45" t="s">
        <v>9</v>
      </c>
      <c r="I8" s="45" t="s">
        <v>108</v>
      </c>
      <c r="J8" s="45" t="s">
        <v>9</v>
      </c>
      <c r="K8" s="45" t="s">
        <v>108</v>
      </c>
      <c r="L8" s="45" t="s">
        <v>9</v>
      </c>
      <c r="M8" s="45" t="s">
        <v>108</v>
      </c>
    </row>
    <row r="9" spans="1:13" ht="12.75">
      <c r="A9" s="216" t="s">
        <v>144</v>
      </c>
      <c r="B9" s="217"/>
      <c r="C9" s="217"/>
      <c r="D9" s="217"/>
      <c r="E9" s="217"/>
      <c r="F9" s="217"/>
      <c r="G9" s="217"/>
      <c r="H9" s="217"/>
      <c r="I9" s="217"/>
      <c r="J9" s="217"/>
      <c r="K9" s="217"/>
      <c r="L9" s="45"/>
      <c r="M9" s="46" t="e">
        <f>#REF!</f>
        <v>#REF!</v>
      </c>
    </row>
    <row r="10" spans="1:13" ht="25.5">
      <c r="A10" s="47" t="s">
        <v>106</v>
      </c>
      <c r="B10" s="48" t="s">
        <v>118</v>
      </c>
      <c r="C10" s="49"/>
      <c r="D10" s="50" t="s">
        <v>117</v>
      </c>
      <c r="E10" s="51">
        <v>110</v>
      </c>
      <c r="F10" s="51">
        <v>5.64</v>
      </c>
      <c r="G10" s="52">
        <f>E10*F10/100</f>
        <v>6.204</v>
      </c>
      <c r="H10" s="51">
        <v>3.59</v>
      </c>
      <c r="I10" s="52">
        <f aca="true" t="shared" si="0" ref="I10:I16">E10*H10/100</f>
        <v>3.949</v>
      </c>
      <c r="J10" s="51"/>
      <c r="K10" s="52">
        <f>J10*E10/100</f>
        <v>0</v>
      </c>
      <c r="L10" s="51">
        <f>F10+H10+J10</f>
        <v>9.23</v>
      </c>
      <c r="M10" s="52">
        <f>G10+I10+K10</f>
        <v>10.152999999999999</v>
      </c>
    </row>
    <row r="11" spans="1:13" ht="25.5">
      <c r="A11" s="47" t="s">
        <v>106</v>
      </c>
      <c r="B11" s="48" t="s">
        <v>128</v>
      </c>
      <c r="C11" s="49"/>
      <c r="D11" s="50" t="s">
        <v>117</v>
      </c>
      <c r="E11" s="51">
        <v>150</v>
      </c>
      <c r="F11" s="51">
        <v>0.6</v>
      </c>
      <c r="G11" s="52">
        <f>E11*F11/100</f>
        <v>0.9</v>
      </c>
      <c r="H11" s="51">
        <v>4.479</v>
      </c>
      <c r="I11" s="52">
        <f t="shared" si="0"/>
        <v>6.718500000000001</v>
      </c>
      <c r="J11" s="51"/>
      <c r="K11" s="52">
        <f>J11*E11/100</f>
        <v>0</v>
      </c>
      <c r="L11" s="51">
        <f aca="true" t="shared" si="1" ref="L11:L21">F11+H11+J11</f>
        <v>5.079</v>
      </c>
      <c r="M11" s="52">
        <f aca="true" t="shared" si="2" ref="M11:M21">G11+I11+K11</f>
        <v>7.618500000000001</v>
      </c>
    </row>
    <row r="12" spans="1:13" ht="12.75">
      <c r="A12" s="47" t="s">
        <v>129</v>
      </c>
      <c r="B12" s="48" t="s">
        <v>128</v>
      </c>
      <c r="C12" s="49"/>
      <c r="D12" s="50"/>
      <c r="E12" s="51">
        <v>270</v>
      </c>
      <c r="F12" s="51">
        <v>0.13</v>
      </c>
      <c r="G12" s="52">
        <f>E12*F12/100</f>
        <v>0.35100000000000003</v>
      </c>
      <c r="H12" s="51">
        <v>0.2</v>
      </c>
      <c r="I12" s="52">
        <f t="shared" si="0"/>
        <v>0.54</v>
      </c>
      <c r="J12" s="51"/>
      <c r="K12" s="52"/>
      <c r="L12" s="51">
        <f t="shared" si="1"/>
        <v>0.33</v>
      </c>
      <c r="M12" s="52">
        <f t="shared" si="2"/>
        <v>0.891</v>
      </c>
    </row>
    <row r="13" spans="1:13" ht="12.75">
      <c r="A13" s="47" t="s">
        <v>129</v>
      </c>
      <c r="B13" s="48" t="s">
        <v>134</v>
      </c>
      <c r="C13" s="49"/>
      <c r="D13" s="50"/>
      <c r="E13" s="51">
        <v>350</v>
      </c>
      <c r="F13" s="51">
        <v>1.63</v>
      </c>
      <c r="G13" s="52">
        <f>E13*F13/100</f>
        <v>5.705</v>
      </c>
      <c r="H13" s="51">
        <v>3.65</v>
      </c>
      <c r="I13" s="52">
        <f t="shared" si="0"/>
        <v>12.775</v>
      </c>
      <c r="J13" s="51"/>
      <c r="K13" s="52">
        <f>E13*J13/100</f>
        <v>0</v>
      </c>
      <c r="L13" s="51">
        <f t="shared" si="1"/>
        <v>5.279999999999999</v>
      </c>
      <c r="M13" s="52">
        <f t="shared" si="2"/>
        <v>18.48</v>
      </c>
    </row>
    <row r="14" spans="1:13" ht="12.75">
      <c r="A14" s="53" t="s">
        <v>135</v>
      </c>
      <c r="B14" s="54" t="s">
        <v>118</v>
      </c>
      <c r="C14" s="55"/>
      <c r="D14" s="50"/>
      <c r="E14" s="31">
        <v>1</v>
      </c>
      <c r="F14" s="51"/>
      <c r="G14" s="52">
        <f aca="true" t="shared" si="3" ref="G14:G19">E14*F14</f>
        <v>0</v>
      </c>
      <c r="H14" s="51">
        <v>13</v>
      </c>
      <c r="I14" s="52">
        <f t="shared" si="0"/>
        <v>0.13</v>
      </c>
      <c r="J14" s="51"/>
      <c r="K14" s="52">
        <f>E14*J14</f>
        <v>0</v>
      </c>
      <c r="L14" s="51">
        <f t="shared" si="1"/>
        <v>13</v>
      </c>
      <c r="M14" s="52">
        <f t="shared" si="2"/>
        <v>0.13</v>
      </c>
    </row>
    <row r="15" spans="1:13" ht="12.75">
      <c r="A15" s="53" t="s">
        <v>125</v>
      </c>
      <c r="B15" s="54" t="s">
        <v>118</v>
      </c>
      <c r="C15" s="55"/>
      <c r="D15" s="50"/>
      <c r="E15" s="31">
        <v>2.3</v>
      </c>
      <c r="F15" s="51"/>
      <c r="G15" s="52">
        <f t="shared" si="3"/>
        <v>0</v>
      </c>
      <c r="H15" s="51">
        <v>32</v>
      </c>
      <c r="I15" s="52">
        <f t="shared" si="0"/>
        <v>0.736</v>
      </c>
      <c r="J15" s="51"/>
      <c r="K15" s="52">
        <f>E15*J15</f>
        <v>0</v>
      </c>
      <c r="L15" s="51">
        <f t="shared" si="1"/>
        <v>32</v>
      </c>
      <c r="M15" s="52">
        <f t="shared" si="2"/>
        <v>0.736</v>
      </c>
    </row>
    <row r="16" spans="1:13" ht="12.75">
      <c r="A16" s="53" t="s">
        <v>136</v>
      </c>
      <c r="B16" s="54" t="s">
        <v>118</v>
      </c>
      <c r="C16" s="55"/>
      <c r="D16" s="50"/>
      <c r="E16" s="31">
        <v>5.5</v>
      </c>
      <c r="F16" s="51"/>
      <c r="G16" s="52">
        <f t="shared" si="3"/>
        <v>0</v>
      </c>
      <c r="H16" s="51"/>
      <c r="I16" s="52">
        <f t="shared" si="0"/>
        <v>0</v>
      </c>
      <c r="J16" s="51"/>
      <c r="K16" s="52"/>
      <c r="L16" s="51">
        <f t="shared" si="1"/>
        <v>0</v>
      </c>
      <c r="M16" s="52">
        <f t="shared" si="2"/>
        <v>0</v>
      </c>
    </row>
    <row r="17" spans="1:13" ht="12.75">
      <c r="A17" s="53" t="s">
        <v>137</v>
      </c>
      <c r="B17" s="54" t="s">
        <v>118</v>
      </c>
      <c r="C17" s="56"/>
      <c r="D17" s="55"/>
      <c r="E17" s="31">
        <v>2.5</v>
      </c>
      <c r="F17" s="51"/>
      <c r="G17" s="52">
        <f t="shared" si="3"/>
        <v>0</v>
      </c>
      <c r="H17" s="51">
        <v>2</v>
      </c>
      <c r="I17" s="52">
        <f>E17*H17</f>
        <v>5</v>
      </c>
      <c r="J17" s="51"/>
      <c r="K17" s="52">
        <f>E17*J17</f>
        <v>0</v>
      </c>
      <c r="L17" s="51">
        <f t="shared" si="1"/>
        <v>2</v>
      </c>
      <c r="M17" s="52">
        <f t="shared" si="2"/>
        <v>5</v>
      </c>
    </row>
    <row r="18" spans="1:13" ht="25.5">
      <c r="A18" s="53" t="s">
        <v>126</v>
      </c>
      <c r="B18" s="54" t="s">
        <v>118</v>
      </c>
      <c r="C18" s="56"/>
      <c r="D18" s="55"/>
      <c r="E18" s="31">
        <v>2.3</v>
      </c>
      <c r="F18" s="51">
        <v>2</v>
      </c>
      <c r="G18" s="52">
        <f>E18*F18</f>
        <v>4.6</v>
      </c>
      <c r="H18" s="51">
        <v>5</v>
      </c>
      <c r="I18" s="52">
        <f>H18*E18</f>
        <v>11.5</v>
      </c>
      <c r="J18" s="51"/>
      <c r="K18" s="52">
        <f>E18*J18</f>
        <v>0</v>
      </c>
      <c r="L18" s="51">
        <f t="shared" si="1"/>
        <v>7</v>
      </c>
      <c r="M18" s="52">
        <f t="shared" si="2"/>
        <v>16.1</v>
      </c>
    </row>
    <row r="19" spans="1:13" ht="25.5">
      <c r="A19" s="53" t="s">
        <v>127</v>
      </c>
      <c r="B19" s="54" t="s">
        <v>118</v>
      </c>
      <c r="C19" s="56"/>
      <c r="D19" s="55"/>
      <c r="E19" s="31">
        <v>3</v>
      </c>
      <c r="F19" s="51"/>
      <c r="G19" s="52">
        <f t="shared" si="3"/>
        <v>0</v>
      </c>
      <c r="H19" s="51">
        <v>4</v>
      </c>
      <c r="I19" s="52">
        <f>H19*E19</f>
        <v>12</v>
      </c>
      <c r="J19" s="51"/>
      <c r="K19" s="52">
        <f>E19*J19</f>
        <v>0</v>
      </c>
      <c r="L19" s="51">
        <f t="shared" si="1"/>
        <v>4</v>
      </c>
      <c r="M19" s="52">
        <f t="shared" si="2"/>
        <v>12</v>
      </c>
    </row>
    <row r="20" spans="1:14" s="18" customFormat="1" ht="25.5">
      <c r="A20" s="57" t="s">
        <v>6</v>
      </c>
      <c r="B20" s="58"/>
      <c r="C20" s="59"/>
      <c r="D20" s="60"/>
      <c r="E20" s="51">
        <v>1.1</v>
      </c>
      <c r="F20" s="51">
        <v>292</v>
      </c>
      <c r="G20" s="52">
        <f>E20*F20/100</f>
        <v>3.2120000000000006</v>
      </c>
      <c r="H20" s="61"/>
      <c r="I20" s="61"/>
      <c r="J20" s="61"/>
      <c r="K20" s="61"/>
      <c r="L20" s="51">
        <f t="shared" si="1"/>
        <v>292</v>
      </c>
      <c r="M20" s="52">
        <f t="shared" si="2"/>
        <v>3.2120000000000006</v>
      </c>
      <c r="N20" s="39"/>
    </row>
    <row r="21" spans="1:14" s="18" customFormat="1" ht="25.5">
      <c r="A21" s="57" t="s">
        <v>7</v>
      </c>
      <c r="B21" s="58"/>
      <c r="C21" s="59"/>
      <c r="D21" s="60"/>
      <c r="E21" s="51">
        <v>8.6</v>
      </c>
      <c r="F21" s="51">
        <v>14</v>
      </c>
      <c r="G21" s="52">
        <f>E21*F21/100</f>
        <v>1.204</v>
      </c>
      <c r="H21" s="61"/>
      <c r="I21" s="61"/>
      <c r="J21" s="61"/>
      <c r="K21" s="61"/>
      <c r="L21" s="51">
        <f t="shared" si="1"/>
        <v>14</v>
      </c>
      <c r="M21" s="52">
        <f t="shared" si="2"/>
        <v>1.204</v>
      </c>
      <c r="N21" s="39"/>
    </row>
    <row r="22" spans="1:13" ht="12.75">
      <c r="A22" s="62"/>
      <c r="B22" s="62"/>
      <c r="C22" s="63"/>
      <c r="D22" s="63"/>
      <c r="E22" s="62"/>
      <c r="F22" s="63"/>
      <c r="G22" s="64"/>
      <c r="H22" s="63"/>
      <c r="I22" s="64"/>
      <c r="J22" s="63"/>
      <c r="K22" s="64"/>
      <c r="L22" s="63"/>
      <c r="M22" s="65"/>
    </row>
    <row r="23" spans="1:13" ht="12.75">
      <c r="A23" s="226" t="s">
        <v>143</v>
      </c>
      <c r="B23" s="227"/>
      <c r="C23" s="227"/>
      <c r="D23" s="227"/>
      <c r="E23" s="227"/>
      <c r="F23" s="227"/>
      <c r="G23" s="227"/>
      <c r="H23" s="227"/>
      <c r="I23" s="227"/>
      <c r="J23" s="227"/>
      <c r="K23" s="227"/>
      <c r="L23" s="66"/>
      <c r="M23" s="67">
        <f>SUM(M10:M22)</f>
        <v>75.52449999999999</v>
      </c>
    </row>
    <row r="24" spans="1:13" ht="12.75">
      <c r="A24" s="226" t="s">
        <v>138</v>
      </c>
      <c r="B24" s="227"/>
      <c r="C24" s="227"/>
      <c r="D24" s="227"/>
      <c r="E24" s="227"/>
      <c r="F24" s="227"/>
      <c r="G24" s="227"/>
      <c r="H24" s="227"/>
      <c r="I24" s="227"/>
      <c r="J24" s="227"/>
      <c r="K24" s="227"/>
      <c r="L24" s="66"/>
      <c r="M24" s="68" t="e">
        <f>M23+M9</f>
        <v>#REF!</v>
      </c>
    </row>
    <row r="25" spans="5:13" ht="12.75">
      <c r="E25" s="23"/>
      <c r="F25" s="17"/>
      <c r="G25" s="17"/>
      <c r="H25" s="17"/>
      <c r="I25" s="17"/>
      <c r="J25" s="17"/>
      <c r="K25" s="40" t="s">
        <v>147</v>
      </c>
      <c r="L25" s="41" t="s">
        <v>145</v>
      </c>
      <c r="M25" s="42"/>
    </row>
    <row r="26" spans="5:13" ht="12.75">
      <c r="E26" s="23"/>
      <c r="F26" s="17"/>
      <c r="G26" s="17"/>
      <c r="H26" s="17"/>
      <c r="I26" s="17"/>
      <c r="J26" s="17"/>
      <c r="K26" s="40"/>
      <c r="L26" s="41" t="s">
        <v>146</v>
      </c>
      <c r="M26" s="42"/>
    </row>
    <row r="27" spans="5:13" ht="12.75">
      <c r="E27" s="23"/>
      <c r="F27" s="17"/>
      <c r="G27" s="17"/>
      <c r="H27" s="17"/>
      <c r="I27" s="17"/>
      <c r="J27" s="17"/>
      <c r="K27" s="40"/>
      <c r="L27" s="41"/>
      <c r="M27" s="42"/>
    </row>
    <row r="28" spans="1:13" s="1" customFormat="1" ht="15.75">
      <c r="A28" s="21" t="s">
        <v>109</v>
      </c>
      <c r="B28" s="21"/>
      <c r="E28" s="21"/>
      <c r="M28" s="20" t="s">
        <v>4</v>
      </c>
    </row>
  </sheetData>
  <sheetProtection/>
  <mergeCells count="15">
    <mergeCell ref="A3:M3"/>
    <mergeCell ref="A5:A8"/>
    <mergeCell ref="B5:B8"/>
    <mergeCell ref="C5:C8"/>
    <mergeCell ref="D5:D8"/>
    <mergeCell ref="E5:E8"/>
    <mergeCell ref="F6:K6"/>
    <mergeCell ref="A9:K9"/>
    <mergeCell ref="F5:K5"/>
    <mergeCell ref="L5:M7"/>
    <mergeCell ref="A24:K24"/>
    <mergeCell ref="F7:G7"/>
    <mergeCell ref="H7:I7"/>
    <mergeCell ref="J7:K7"/>
    <mergeCell ref="A23:K23"/>
  </mergeCells>
  <printOptions horizontalCentered="1"/>
  <pageMargins left="0" right="0" top="0.1968503937007874" bottom="0"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N151"/>
  <sheetViews>
    <sheetView zoomScale="80" zoomScaleNormal="80" zoomScalePageLayoutView="0" workbookViewId="0" topLeftCell="A121">
      <selection activeCell="J145" sqref="J145"/>
    </sheetView>
  </sheetViews>
  <sheetFormatPr defaultColWidth="9.140625" defaultRowHeight="12.75"/>
  <cols>
    <col min="2" max="2" width="42.7109375" style="0" customWidth="1"/>
    <col min="3" max="3" width="13.57421875" style="0" customWidth="1"/>
    <col min="4" max="4" width="13.28125" style="0" customWidth="1"/>
    <col min="7" max="7" width="10.7109375" style="0" customWidth="1"/>
    <col min="8" max="8" width="13.421875" style="0" bestFit="1" customWidth="1"/>
    <col min="9" max="9" width="11.28125" style="0" customWidth="1"/>
    <col min="10" max="10" width="22.8515625" style="0" customWidth="1"/>
    <col min="11" max="11" width="11.28125" style="0" customWidth="1"/>
  </cols>
  <sheetData>
    <row r="1" spans="1:14" ht="15">
      <c r="A1" s="24"/>
      <c r="B1" s="24"/>
      <c r="C1" s="24"/>
      <c r="D1" s="24"/>
      <c r="E1" s="24"/>
      <c r="F1" s="24"/>
      <c r="G1" s="24"/>
      <c r="H1" s="24"/>
      <c r="I1" s="24"/>
      <c r="J1" s="90"/>
      <c r="K1" s="90"/>
      <c r="L1" s="90"/>
      <c r="M1" s="90"/>
      <c r="N1" s="90"/>
    </row>
    <row r="2" spans="1:14" ht="57.75" customHeight="1">
      <c r="A2" s="87"/>
      <c r="B2" s="244" t="s">
        <v>272</v>
      </c>
      <c r="C2" s="245"/>
      <c r="D2" s="245"/>
      <c r="E2" s="245"/>
      <c r="F2" s="245"/>
      <c r="G2" s="245"/>
      <c r="H2" s="245"/>
      <c r="I2" s="245"/>
      <c r="J2" s="245"/>
      <c r="K2" s="245"/>
      <c r="L2" s="245"/>
      <c r="M2" s="245"/>
      <c r="N2" s="245"/>
    </row>
    <row r="3" spans="1:14" ht="18.75">
      <c r="A3" s="87"/>
      <c r="B3" s="91"/>
      <c r="C3" s="92"/>
      <c r="D3" s="92"/>
      <c r="E3" s="92"/>
      <c r="F3" s="92"/>
      <c r="G3" s="92"/>
      <c r="H3" s="92"/>
      <c r="I3" s="92"/>
      <c r="J3" s="92"/>
      <c r="K3" s="92"/>
      <c r="L3" s="92"/>
      <c r="M3" s="92"/>
      <c r="N3" s="92"/>
    </row>
    <row r="4" spans="1:14" ht="22.5" customHeight="1">
      <c r="A4" s="87" t="s">
        <v>110</v>
      </c>
      <c r="B4" s="93" t="s">
        <v>189</v>
      </c>
      <c r="C4" s="92"/>
      <c r="D4" s="92"/>
      <c r="E4" s="92"/>
      <c r="F4" s="92"/>
      <c r="G4" s="92"/>
      <c r="H4" s="92"/>
      <c r="I4" s="92"/>
      <c r="J4" s="92"/>
      <c r="K4" s="92"/>
      <c r="L4" s="92"/>
      <c r="M4" s="92"/>
      <c r="N4" s="92"/>
    </row>
    <row r="5" spans="1:14" ht="12.75">
      <c r="A5" s="94"/>
      <c r="B5" s="94"/>
      <c r="C5" s="237"/>
      <c r="D5" s="237"/>
      <c r="E5" s="237"/>
      <c r="F5" s="237"/>
      <c r="G5" s="237"/>
      <c r="H5" s="28"/>
      <c r="I5" s="28"/>
      <c r="J5" s="94"/>
      <c r="K5" s="94"/>
      <c r="L5" s="94"/>
      <c r="M5" s="94"/>
      <c r="N5" s="94"/>
    </row>
    <row r="6" spans="1:14" ht="12.75">
      <c r="A6" s="95" t="s">
        <v>190</v>
      </c>
      <c r="B6" s="96" t="s">
        <v>191</v>
      </c>
      <c r="C6" s="238" t="s">
        <v>192</v>
      </c>
      <c r="D6" s="239"/>
      <c r="E6" s="239"/>
      <c r="F6" s="239"/>
      <c r="G6" s="239"/>
      <c r="H6" s="239" t="s">
        <v>193</v>
      </c>
      <c r="I6" s="239"/>
      <c r="J6" s="234" t="s">
        <v>194</v>
      </c>
      <c r="K6" s="235"/>
      <c r="L6" s="234" t="s">
        <v>195</v>
      </c>
      <c r="M6" s="246"/>
      <c r="N6" s="235"/>
    </row>
    <row r="7" spans="1:14" ht="12.75">
      <c r="A7" s="98" t="s">
        <v>196</v>
      </c>
      <c r="B7" s="99" t="s">
        <v>197</v>
      </c>
      <c r="C7" s="238" t="s">
        <v>198</v>
      </c>
      <c r="D7" s="239"/>
      <c r="E7" s="239" t="s">
        <v>199</v>
      </c>
      <c r="F7" s="239"/>
      <c r="G7" s="239"/>
      <c r="H7" s="97" t="s">
        <v>198</v>
      </c>
      <c r="I7" s="97" t="s">
        <v>199</v>
      </c>
      <c r="J7" s="27" t="s">
        <v>200</v>
      </c>
      <c r="K7" s="27" t="s">
        <v>200</v>
      </c>
      <c r="L7" s="27" t="s">
        <v>201</v>
      </c>
      <c r="M7" s="27" t="s">
        <v>202</v>
      </c>
      <c r="N7" s="27" t="s">
        <v>203</v>
      </c>
    </row>
    <row r="8" spans="1:14" ht="12.75">
      <c r="A8" s="99"/>
      <c r="B8" s="99"/>
      <c r="C8" s="97" t="s">
        <v>204</v>
      </c>
      <c r="D8" s="97" t="s">
        <v>205</v>
      </c>
      <c r="E8" s="97" t="s">
        <v>204</v>
      </c>
      <c r="F8" s="97" t="s">
        <v>205</v>
      </c>
      <c r="G8" s="97" t="s">
        <v>206</v>
      </c>
      <c r="H8" s="100"/>
      <c r="I8" s="100"/>
      <c r="J8" s="27" t="s">
        <v>207</v>
      </c>
      <c r="K8" s="27" t="s">
        <v>208</v>
      </c>
      <c r="L8" s="27" t="s">
        <v>209</v>
      </c>
      <c r="M8" s="27" t="s">
        <v>209</v>
      </c>
      <c r="N8" s="27" t="s">
        <v>209</v>
      </c>
    </row>
    <row r="9" spans="1:14" ht="15">
      <c r="A9" s="97"/>
      <c r="B9" s="97"/>
      <c r="C9" s="97" t="s">
        <v>210</v>
      </c>
      <c r="D9" s="97" t="s">
        <v>211</v>
      </c>
      <c r="E9" s="97" t="s">
        <v>210</v>
      </c>
      <c r="F9" s="97" t="s">
        <v>211</v>
      </c>
      <c r="G9" s="97"/>
      <c r="H9" s="100"/>
      <c r="I9" s="100"/>
      <c r="J9" s="27" t="s">
        <v>212</v>
      </c>
      <c r="K9" s="27" t="s">
        <v>213</v>
      </c>
      <c r="L9" s="101"/>
      <c r="M9" s="101"/>
      <c r="N9" s="102"/>
    </row>
    <row r="10" spans="1:14" ht="12.75">
      <c r="A10" s="101">
        <v>1</v>
      </c>
      <c r="B10" s="101" t="s">
        <v>214</v>
      </c>
      <c r="C10" s="103">
        <f>25.1+0.16</f>
        <v>25.26</v>
      </c>
      <c r="D10" s="103">
        <v>1.1</v>
      </c>
      <c r="E10" s="103">
        <f>14+0.67</f>
        <v>14.67</v>
      </c>
      <c r="F10" s="103">
        <f>4.9+1.32+15.3</f>
        <v>21.520000000000003</v>
      </c>
      <c r="G10" s="103"/>
      <c r="H10" s="103">
        <f>23.3+0.025+0.832</f>
        <v>24.157</v>
      </c>
      <c r="I10" s="103">
        <f>20.25+0.05</f>
        <v>20.3</v>
      </c>
      <c r="J10" s="101">
        <v>22</v>
      </c>
      <c r="K10" s="101">
        <f>292+2</f>
        <v>294</v>
      </c>
      <c r="L10" s="101">
        <v>4</v>
      </c>
      <c r="M10" s="101">
        <f>18+1</f>
        <v>19</v>
      </c>
      <c r="N10" s="101">
        <v>24</v>
      </c>
    </row>
    <row r="11" spans="1:14" ht="12.75">
      <c r="A11" s="101">
        <v>2</v>
      </c>
      <c r="B11" s="101" t="s">
        <v>215</v>
      </c>
      <c r="C11" s="103">
        <f>47.8+2.7+0.212+0.212</f>
        <v>50.92400000000001</v>
      </c>
      <c r="D11" s="103">
        <v>14</v>
      </c>
      <c r="E11" s="103">
        <f>23.1+0.664+0.664</f>
        <v>24.428000000000004</v>
      </c>
      <c r="F11" s="103">
        <f>46.3+1.2+26.5</f>
        <v>74</v>
      </c>
      <c r="G11" s="103"/>
      <c r="H11" s="103">
        <f>30.8+0.242</f>
        <v>31.042</v>
      </c>
      <c r="I11" s="103">
        <f>29.9+0.03</f>
        <v>29.93</v>
      </c>
      <c r="J11" s="101">
        <v>28</v>
      </c>
      <c r="K11" s="101">
        <f>588+2+2</f>
        <v>592</v>
      </c>
      <c r="L11" s="101">
        <v>1</v>
      </c>
      <c r="M11" s="101">
        <f>25+1+1+1</f>
        <v>28</v>
      </c>
      <c r="N11" s="101">
        <v>68</v>
      </c>
    </row>
    <row r="12" spans="1:14" ht="12.75">
      <c r="A12" s="101">
        <v>3</v>
      </c>
      <c r="B12" s="101" t="s">
        <v>216</v>
      </c>
      <c r="C12" s="103">
        <v>13.3</v>
      </c>
      <c r="D12" s="103"/>
      <c r="E12" s="103"/>
      <c r="F12" s="103"/>
      <c r="G12" s="103"/>
      <c r="H12" s="103">
        <v>10.5</v>
      </c>
      <c r="I12" s="103">
        <v>10</v>
      </c>
      <c r="J12" s="101">
        <v>22</v>
      </c>
      <c r="K12" s="101">
        <v>60</v>
      </c>
      <c r="L12" s="101"/>
      <c r="M12" s="101"/>
      <c r="N12" s="101">
        <v>10</v>
      </c>
    </row>
    <row r="13" spans="1:14" ht="12.75">
      <c r="A13" s="101">
        <v>4</v>
      </c>
      <c r="B13" s="101" t="s">
        <v>217</v>
      </c>
      <c r="C13" s="103">
        <f>1.5+0.12+0.12</f>
        <v>1.7400000000000002</v>
      </c>
      <c r="D13" s="103">
        <f>0.4</f>
        <v>0.4</v>
      </c>
      <c r="E13" s="103">
        <f>1.5+0.2+0.4</f>
        <v>2.1</v>
      </c>
      <c r="F13" s="103">
        <f>4+0.5</f>
        <v>4.5</v>
      </c>
      <c r="G13" s="103"/>
      <c r="H13" s="104">
        <f>0.85+0.04+0.04</f>
        <v>0.93</v>
      </c>
      <c r="I13" s="103">
        <f>8+0.06+0.06</f>
        <v>8.120000000000001</v>
      </c>
      <c r="J13" s="101">
        <v>8</v>
      </c>
      <c r="K13" s="101">
        <v>110</v>
      </c>
      <c r="L13" s="101"/>
      <c r="M13" s="101">
        <f>6+1+1</f>
        <v>8</v>
      </c>
      <c r="N13" s="101">
        <v>13</v>
      </c>
    </row>
    <row r="14" spans="1:14" ht="12.75">
      <c r="A14" s="101">
        <v>5</v>
      </c>
      <c r="B14" s="101" t="s">
        <v>218</v>
      </c>
      <c r="C14" s="103"/>
      <c r="D14" s="103"/>
      <c r="E14" s="103">
        <v>0.2</v>
      </c>
      <c r="F14" s="103"/>
      <c r="G14" s="103"/>
      <c r="H14" s="103"/>
      <c r="I14" s="103">
        <v>3.1</v>
      </c>
      <c r="J14" s="101"/>
      <c r="K14" s="101">
        <v>6</v>
      </c>
      <c r="L14" s="101"/>
      <c r="M14" s="101"/>
      <c r="N14" s="101">
        <v>1</v>
      </c>
    </row>
    <row r="15" spans="1:14" ht="12.75">
      <c r="A15" s="101">
        <v>6</v>
      </c>
      <c r="B15" s="101" t="s">
        <v>219</v>
      </c>
      <c r="C15" s="103">
        <f>17+0.65+0.05+0.23</f>
        <v>17.93</v>
      </c>
      <c r="D15" s="103">
        <v>5</v>
      </c>
      <c r="E15" s="103">
        <f>5+0.15</f>
        <v>5.15</v>
      </c>
      <c r="F15" s="103">
        <f>10+6.6</f>
        <v>16.6</v>
      </c>
      <c r="G15" s="103"/>
      <c r="H15" s="103">
        <f>14+0.2+0.1</f>
        <v>14.299999999999999</v>
      </c>
      <c r="I15" s="103">
        <f>22+0.1</f>
        <v>22.1</v>
      </c>
      <c r="J15" s="101">
        <v>18</v>
      </c>
      <c r="K15" s="101">
        <f>84+1</f>
        <v>85</v>
      </c>
      <c r="L15" s="101"/>
      <c r="M15" s="101">
        <f>7+1</f>
        <v>8</v>
      </c>
      <c r="N15" s="101">
        <v>10</v>
      </c>
    </row>
    <row r="16" spans="1:14" ht="12.75">
      <c r="A16" s="101">
        <v>7</v>
      </c>
      <c r="B16" s="101" t="s">
        <v>220</v>
      </c>
      <c r="C16" s="103">
        <v>0.7</v>
      </c>
      <c r="D16" s="103"/>
      <c r="E16" s="103">
        <v>2</v>
      </c>
      <c r="F16" s="103">
        <f>19+9.5</f>
        <v>28.5</v>
      </c>
      <c r="G16" s="103"/>
      <c r="H16" s="103">
        <v>24</v>
      </c>
      <c r="I16" s="103">
        <v>19</v>
      </c>
      <c r="J16" s="101">
        <v>10</v>
      </c>
      <c r="K16" s="101">
        <v>156</v>
      </c>
      <c r="L16" s="101"/>
      <c r="M16" s="101">
        <v>6</v>
      </c>
      <c r="N16" s="101">
        <v>21</v>
      </c>
    </row>
    <row r="17" spans="1:14" ht="12.75">
      <c r="A17" s="101">
        <v>8</v>
      </c>
      <c r="B17" s="101" t="s">
        <v>221</v>
      </c>
      <c r="C17" s="103">
        <f>13+4+0.7+1.3</f>
        <v>19</v>
      </c>
      <c r="D17" s="103">
        <f>5+0.28</f>
        <v>5.28</v>
      </c>
      <c r="E17" s="103">
        <f>3+0.06+3.5+1.5+3</f>
        <v>11.06</v>
      </c>
      <c r="F17" s="103">
        <f>6+1.55</f>
        <v>7.55</v>
      </c>
      <c r="G17" s="103"/>
      <c r="H17" s="103">
        <f>18+0.25+1.5+0.18+0.16</f>
        <v>20.09</v>
      </c>
      <c r="I17" s="103">
        <f>18+0.445+0.22+0.42</f>
        <v>19.085</v>
      </c>
      <c r="J17" s="101">
        <f>20+6</f>
        <v>26</v>
      </c>
      <c r="K17" s="101">
        <f>246+2+5</f>
        <v>253</v>
      </c>
      <c r="L17" s="101">
        <v>2</v>
      </c>
      <c r="M17" s="101">
        <f>11+1+1+3+4</f>
        <v>20</v>
      </c>
      <c r="N17" s="101">
        <f>23+2+1</f>
        <v>26</v>
      </c>
    </row>
    <row r="18" spans="1:14" ht="12.75">
      <c r="A18" s="101">
        <v>9</v>
      </c>
      <c r="B18" s="101" t="s">
        <v>222</v>
      </c>
      <c r="C18" s="103">
        <f>1.14</f>
        <v>1.14</v>
      </c>
      <c r="D18" s="103"/>
      <c r="E18" s="103"/>
      <c r="F18" s="103"/>
      <c r="G18" s="103"/>
      <c r="H18" s="103">
        <f>10+0.53</f>
        <v>10.53</v>
      </c>
      <c r="I18" s="103">
        <v>15</v>
      </c>
      <c r="J18" s="101">
        <v>2</v>
      </c>
      <c r="K18" s="101">
        <v>30</v>
      </c>
      <c r="L18" s="101"/>
      <c r="M18" s="101">
        <v>1</v>
      </c>
      <c r="N18" s="101">
        <f>5+1</f>
        <v>6</v>
      </c>
    </row>
    <row r="19" spans="1:14" ht="12.75">
      <c r="A19" s="105"/>
      <c r="B19" s="105" t="s">
        <v>223</v>
      </c>
      <c r="C19" s="106">
        <f>SUM(C10:C18)</f>
        <v>129.99399999999997</v>
      </c>
      <c r="D19" s="106">
        <f aca="true" t="shared" si="0" ref="D19:N19">SUM(D10:D18)</f>
        <v>25.78</v>
      </c>
      <c r="E19" s="106">
        <f t="shared" si="0"/>
        <v>59.60800000000001</v>
      </c>
      <c r="F19" s="106">
        <f t="shared" si="0"/>
        <v>152.67000000000002</v>
      </c>
      <c r="G19" s="106">
        <f t="shared" si="0"/>
        <v>0</v>
      </c>
      <c r="H19" s="106">
        <f>SUM(H10:H18)</f>
        <v>135.549</v>
      </c>
      <c r="I19" s="106">
        <f t="shared" si="0"/>
        <v>146.63500000000002</v>
      </c>
      <c r="J19" s="106">
        <f t="shared" si="0"/>
        <v>136</v>
      </c>
      <c r="K19" s="106">
        <f t="shared" si="0"/>
        <v>1586</v>
      </c>
      <c r="L19" s="106">
        <f t="shared" si="0"/>
        <v>7</v>
      </c>
      <c r="M19" s="106">
        <f t="shared" si="0"/>
        <v>90</v>
      </c>
      <c r="N19" s="106">
        <f t="shared" si="0"/>
        <v>179</v>
      </c>
    </row>
    <row r="20" spans="1:14" ht="15">
      <c r="A20" s="101"/>
      <c r="B20" s="101"/>
      <c r="C20" s="101"/>
      <c r="D20" s="101"/>
      <c r="E20" s="101"/>
      <c r="F20" s="101"/>
      <c r="G20" s="101"/>
      <c r="H20" s="101"/>
      <c r="I20" s="102"/>
      <c r="J20" s="102"/>
      <c r="K20" s="102"/>
      <c r="L20" s="102"/>
      <c r="M20" s="102"/>
      <c r="N20" s="102"/>
    </row>
    <row r="21" spans="1:14" ht="12.75">
      <c r="A21" s="101">
        <v>1</v>
      </c>
      <c r="B21" s="101" t="s">
        <v>224</v>
      </c>
      <c r="C21" s="103">
        <f>10+2.23</f>
        <v>12.23</v>
      </c>
      <c r="D21" s="103">
        <v>2</v>
      </c>
      <c r="E21" s="103">
        <v>4</v>
      </c>
      <c r="F21" s="103">
        <f>21.2+10.7</f>
        <v>31.9</v>
      </c>
      <c r="G21" s="103"/>
      <c r="H21" s="103">
        <f>22+0.407</f>
        <v>22.407</v>
      </c>
      <c r="I21" s="103">
        <f>21+0.691</f>
        <v>21.691</v>
      </c>
      <c r="J21" s="101">
        <v>16</v>
      </c>
      <c r="K21" s="101">
        <f>198+4</f>
        <v>202</v>
      </c>
      <c r="L21" s="101"/>
      <c r="M21" s="101">
        <f>5+1</f>
        <v>6</v>
      </c>
      <c r="N21" s="101">
        <f>26+1</f>
        <v>27</v>
      </c>
    </row>
    <row r="22" spans="1:14" ht="12.75">
      <c r="A22" s="101">
        <v>2</v>
      </c>
      <c r="B22" s="101" t="s">
        <v>225</v>
      </c>
      <c r="C22" s="103">
        <f>4.5+2+0.35</f>
        <v>6.85</v>
      </c>
      <c r="D22" s="103"/>
      <c r="E22" s="103">
        <v>15</v>
      </c>
      <c r="F22" s="103">
        <f>38+19</f>
        <v>57</v>
      </c>
      <c r="G22" s="103"/>
      <c r="H22" s="103">
        <v>36.1</v>
      </c>
      <c r="I22" s="103">
        <v>18</v>
      </c>
      <c r="J22" s="101">
        <v>6</v>
      </c>
      <c r="K22" s="101">
        <f>168+3</f>
        <v>171</v>
      </c>
      <c r="L22" s="101"/>
      <c r="M22" s="101">
        <v>12</v>
      </c>
      <c r="N22" s="101">
        <v>19</v>
      </c>
    </row>
    <row r="23" spans="1:14" ht="12.75">
      <c r="A23" s="101">
        <v>3</v>
      </c>
      <c r="B23" s="101" t="s">
        <v>226</v>
      </c>
      <c r="C23" s="103">
        <f>1.7+0.24+0.07</f>
        <v>2.01</v>
      </c>
      <c r="D23" s="103"/>
      <c r="E23" s="103">
        <f>14+0.36+2.187</f>
        <v>16.547</v>
      </c>
      <c r="F23" s="103">
        <f>25+18</f>
        <v>43</v>
      </c>
      <c r="G23" s="103"/>
      <c r="H23" s="103">
        <f>40+0.02+1.7+0.533+0.533</f>
        <v>42.78600000000001</v>
      </c>
      <c r="I23" s="103">
        <v>22</v>
      </c>
      <c r="J23" s="101">
        <v>22</v>
      </c>
      <c r="K23" s="101">
        <f>276+2+3+4+4</f>
        <v>289</v>
      </c>
      <c r="L23" s="101">
        <v>1</v>
      </c>
      <c r="M23" s="101">
        <f>15+1</f>
        <v>16</v>
      </c>
      <c r="N23" s="101">
        <f>24+1+1+1</f>
        <v>27</v>
      </c>
    </row>
    <row r="24" spans="1:14" ht="12.75">
      <c r="A24" s="101">
        <v>4</v>
      </c>
      <c r="B24" s="101" t="s">
        <v>227</v>
      </c>
      <c r="C24" s="103"/>
      <c r="D24" s="103"/>
      <c r="E24" s="103">
        <v>4</v>
      </c>
      <c r="F24" s="103">
        <f>16+15</f>
        <v>31</v>
      </c>
      <c r="G24" s="103"/>
      <c r="H24" s="103">
        <f>10+0.775</f>
        <v>10.775</v>
      </c>
      <c r="I24" s="103">
        <v>15.6</v>
      </c>
      <c r="J24" s="101">
        <v>6</v>
      </c>
      <c r="K24" s="101">
        <f>138+5</f>
        <v>143</v>
      </c>
      <c r="L24" s="101"/>
      <c r="M24" s="101">
        <v>6</v>
      </c>
      <c r="N24" s="101">
        <f>17+1</f>
        <v>18</v>
      </c>
    </row>
    <row r="25" spans="1:14" ht="12.75">
      <c r="A25" s="101">
        <v>5</v>
      </c>
      <c r="B25" s="101" t="s">
        <v>228</v>
      </c>
      <c r="C25" s="103">
        <v>0.1</v>
      </c>
      <c r="D25" s="103"/>
      <c r="E25" s="103">
        <v>5</v>
      </c>
      <c r="F25" s="103"/>
      <c r="G25" s="103"/>
      <c r="H25" s="103">
        <f>20+0.65</f>
        <v>20.65</v>
      </c>
      <c r="I25" s="103">
        <v>6</v>
      </c>
      <c r="J25" s="101">
        <v>2</v>
      </c>
      <c r="K25" s="101">
        <f>30+2+1</f>
        <v>33</v>
      </c>
      <c r="L25" s="101">
        <f>1</f>
        <v>1</v>
      </c>
      <c r="M25" s="101">
        <f>1+1</f>
        <v>2</v>
      </c>
      <c r="N25" s="101">
        <v>5</v>
      </c>
    </row>
    <row r="26" spans="1:14" ht="12.75">
      <c r="A26" s="101">
        <v>6</v>
      </c>
      <c r="B26" s="101" t="s">
        <v>229</v>
      </c>
      <c r="C26" s="103">
        <v>0.9</v>
      </c>
      <c r="D26" s="103"/>
      <c r="E26" s="103">
        <v>1.5</v>
      </c>
      <c r="F26" s="103">
        <f>8+5</f>
        <v>13</v>
      </c>
      <c r="G26" s="103"/>
      <c r="H26" s="103">
        <v>8</v>
      </c>
      <c r="I26" s="103">
        <v>14</v>
      </c>
      <c r="J26" s="101">
        <v>2</v>
      </c>
      <c r="K26" s="101">
        <v>30</v>
      </c>
      <c r="L26" s="101"/>
      <c r="M26" s="101"/>
      <c r="N26" s="101">
        <v>5</v>
      </c>
    </row>
    <row r="27" spans="1:14" ht="12.75">
      <c r="A27" s="101">
        <v>7</v>
      </c>
      <c r="B27" s="101" t="s">
        <v>230</v>
      </c>
      <c r="C27" s="103">
        <f>3.5+1.6+1+0.25</f>
        <v>6.35</v>
      </c>
      <c r="D27" s="103">
        <v>0.5</v>
      </c>
      <c r="E27" s="103">
        <f>3.4+1.28+0.855</f>
        <v>5.535</v>
      </c>
      <c r="F27" s="103">
        <f>3+0.3</f>
        <v>3.3</v>
      </c>
      <c r="G27" s="103"/>
      <c r="H27" s="104">
        <f>2.85+0.08+0.5+0.44</f>
        <v>3.87</v>
      </c>
      <c r="I27" s="103">
        <f>10.8+0.156</f>
        <v>10.956000000000001</v>
      </c>
      <c r="J27" s="101">
        <v>15</v>
      </c>
      <c r="K27" s="101">
        <f>92+2+8+2</f>
        <v>104</v>
      </c>
      <c r="L27" s="101"/>
      <c r="M27" s="101">
        <f>4+1+1</f>
        <v>6</v>
      </c>
      <c r="N27" s="101">
        <f>12+2</f>
        <v>14</v>
      </c>
    </row>
    <row r="28" spans="1:14" ht="12.75">
      <c r="A28" s="100">
        <v>8</v>
      </c>
      <c r="B28" s="100" t="s">
        <v>231</v>
      </c>
      <c r="C28" s="103">
        <f>2+4.5</f>
        <v>6.5</v>
      </c>
      <c r="D28" s="103">
        <v>0.3</v>
      </c>
      <c r="E28" s="103">
        <v>0.8</v>
      </c>
      <c r="F28" s="103">
        <f>2+1</f>
        <v>3</v>
      </c>
      <c r="G28" s="103"/>
      <c r="H28" s="103">
        <f>0.1+0.16</f>
        <v>0.26</v>
      </c>
      <c r="I28" s="103">
        <v>2</v>
      </c>
      <c r="J28" s="101">
        <v>12</v>
      </c>
      <c r="K28" s="101">
        <v>66</v>
      </c>
      <c r="L28" s="101"/>
      <c r="M28" s="101">
        <v>5</v>
      </c>
      <c r="N28" s="100">
        <v>9</v>
      </c>
    </row>
    <row r="29" spans="1:14" ht="12.75">
      <c r="A29" s="100">
        <v>9</v>
      </c>
      <c r="B29" s="100" t="s">
        <v>232</v>
      </c>
      <c r="C29" s="103">
        <f>10+0.56+0.733</f>
        <v>11.293000000000001</v>
      </c>
      <c r="D29" s="103">
        <f>2.8+0.24</f>
        <v>3.04</v>
      </c>
      <c r="E29" s="103">
        <f>1.1+3.15+0.6+0.9+2.735</f>
        <v>8.485</v>
      </c>
      <c r="F29" s="103">
        <f>10+3+1.1</f>
        <v>14.1</v>
      </c>
      <c r="G29" s="103"/>
      <c r="H29" s="103">
        <f>0.9+0.48+0.1+0.045</f>
        <v>1.525</v>
      </c>
      <c r="I29" s="103">
        <f>3.1+5+0.644+0.2+0.1</f>
        <v>9.043999999999999</v>
      </c>
      <c r="J29" s="101">
        <v>32</v>
      </c>
      <c r="K29" s="101">
        <f>121+4+5+6</f>
        <v>136</v>
      </c>
      <c r="L29" s="101">
        <v>1</v>
      </c>
      <c r="M29" s="101">
        <f>3+2+1</f>
        <v>6</v>
      </c>
      <c r="N29" s="100">
        <f>21+1+1</f>
        <v>23</v>
      </c>
    </row>
    <row r="30" spans="1:14" ht="12.75">
      <c r="A30" s="100">
        <v>10</v>
      </c>
      <c r="B30" s="100" t="s">
        <v>233</v>
      </c>
      <c r="C30" s="107">
        <v>2.8</v>
      </c>
      <c r="D30" s="107"/>
      <c r="E30" s="107">
        <v>0.8</v>
      </c>
      <c r="F30" s="107"/>
      <c r="G30" s="107"/>
      <c r="H30" s="107">
        <v>0.8</v>
      </c>
      <c r="I30" s="107"/>
      <c r="J30" s="100"/>
      <c r="K30" s="100">
        <v>1</v>
      </c>
      <c r="L30" s="100">
        <v>1</v>
      </c>
      <c r="M30" s="100"/>
      <c r="N30" s="100"/>
    </row>
    <row r="31" spans="1:14" ht="12.75">
      <c r="A31" s="100"/>
      <c r="B31" s="100"/>
      <c r="C31" s="107"/>
      <c r="D31" s="107"/>
      <c r="E31" s="107"/>
      <c r="F31" s="107"/>
      <c r="G31" s="107"/>
      <c r="H31" s="107"/>
      <c r="I31" s="107"/>
      <c r="J31" s="100"/>
      <c r="K31" s="100"/>
      <c r="L31" s="100"/>
      <c r="M31" s="100"/>
      <c r="N31" s="100"/>
    </row>
    <row r="32" spans="1:14" ht="12.75">
      <c r="A32" s="108"/>
      <c r="B32" s="108" t="s">
        <v>234</v>
      </c>
      <c r="C32" s="109">
        <f>SUM(C21:C30)</f>
        <v>49.032999999999994</v>
      </c>
      <c r="D32" s="109">
        <f>SUM(D21:D30)</f>
        <v>5.84</v>
      </c>
      <c r="E32" s="109">
        <f>SUM(E21:E30)</f>
        <v>61.66699999999999</v>
      </c>
      <c r="F32" s="109">
        <f>SUM(F21:F30)</f>
        <v>196.3</v>
      </c>
      <c r="G32" s="109">
        <f>SUM(G21:G30)</f>
        <v>0</v>
      </c>
      <c r="H32" s="109">
        <f aca="true" t="shared" si="1" ref="H32:N32">SUM(H21:H30)</f>
        <v>147.17300000000003</v>
      </c>
      <c r="I32" s="109">
        <f t="shared" si="1"/>
        <v>119.291</v>
      </c>
      <c r="J32" s="106">
        <f t="shared" si="1"/>
        <v>113</v>
      </c>
      <c r="K32" s="106">
        <f t="shared" si="1"/>
        <v>1175</v>
      </c>
      <c r="L32" s="106">
        <f t="shared" si="1"/>
        <v>4</v>
      </c>
      <c r="M32" s="106">
        <f t="shared" si="1"/>
        <v>59</v>
      </c>
      <c r="N32" s="106">
        <f t="shared" si="1"/>
        <v>147</v>
      </c>
    </row>
    <row r="33" spans="1:14" ht="12.75">
      <c r="A33" s="110"/>
      <c r="B33" s="110"/>
      <c r="C33" s="111"/>
      <c r="D33" s="111"/>
      <c r="E33" s="111"/>
      <c r="F33" s="111"/>
      <c r="G33" s="111"/>
      <c r="H33" s="111"/>
      <c r="I33" s="111"/>
      <c r="J33" s="112"/>
      <c r="K33" s="112"/>
      <c r="L33" s="112"/>
      <c r="M33" s="112"/>
      <c r="N33" s="112"/>
    </row>
    <row r="34" spans="1:14" ht="15">
      <c r="A34" s="24"/>
      <c r="B34" s="24"/>
      <c r="C34" s="24"/>
      <c r="D34" s="24"/>
      <c r="E34" s="24"/>
      <c r="F34" s="24"/>
      <c r="G34" s="24"/>
      <c r="H34" s="24"/>
      <c r="I34" s="24"/>
      <c r="J34" s="90"/>
      <c r="K34" s="90"/>
      <c r="L34" s="90"/>
      <c r="M34" s="90"/>
      <c r="N34" s="90"/>
    </row>
    <row r="35" spans="1:14" ht="15">
      <c r="A35" s="113"/>
      <c r="B35" s="240" t="s">
        <v>235</v>
      </c>
      <c r="C35" s="115" t="s">
        <v>236</v>
      </c>
      <c r="D35" s="242" t="s">
        <v>237</v>
      </c>
      <c r="E35" s="243"/>
      <c r="F35" s="116" t="s">
        <v>238</v>
      </c>
      <c r="G35" s="232" t="s">
        <v>239</v>
      </c>
      <c r="H35" s="233"/>
      <c r="I35" s="114" t="s">
        <v>240</v>
      </c>
      <c r="J35" s="117"/>
      <c r="K35" s="117"/>
      <c r="L35" s="117"/>
      <c r="M35" s="117"/>
      <c r="N35" s="117"/>
    </row>
    <row r="36" spans="1:14" ht="15">
      <c r="A36" s="24"/>
      <c r="B36" s="241"/>
      <c r="C36" s="118" t="s">
        <v>241</v>
      </c>
      <c r="D36" s="97" t="s">
        <v>242</v>
      </c>
      <c r="E36" s="118" t="s">
        <v>142</v>
      </c>
      <c r="F36" s="98" t="s">
        <v>243</v>
      </c>
      <c r="G36" s="97" t="s">
        <v>242</v>
      </c>
      <c r="H36" s="118" t="s">
        <v>142</v>
      </c>
      <c r="I36" s="119"/>
      <c r="J36" s="90"/>
      <c r="K36" s="90"/>
      <c r="L36" s="90"/>
      <c r="M36" s="90"/>
      <c r="N36" s="90"/>
    </row>
    <row r="37" spans="1:14" ht="15">
      <c r="A37" s="24"/>
      <c r="B37" s="120" t="s">
        <v>106</v>
      </c>
      <c r="C37" s="89"/>
      <c r="D37" s="120"/>
      <c r="E37" s="28"/>
      <c r="F37" s="121"/>
      <c r="G37" s="120"/>
      <c r="H37" s="122"/>
      <c r="I37" s="123"/>
      <c r="J37" s="90"/>
      <c r="K37" s="90"/>
      <c r="L37" s="90"/>
      <c r="M37" s="90"/>
      <c r="N37" s="90"/>
    </row>
    <row r="38" spans="1:14" ht="15">
      <c r="A38" s="24"/>
      <c r="B38" s="120" t="s">
        <v>244</v>
      </c>
      <c r="C38" s="89" t="s">
        <v>245</v>
      </c>
      <c r="D38" s="124"/>
      <c r="E38" s="125"/>
      <c r="F38" s="126"/>
      <c r="G38" s="124"/>
      <c r="H38" s="124"/>
      <c r="I38" s="123"/>
      <c r="J38" s="90"/>
      <c r="K38" s="90"/>
      <c r="L38" s="90"/>
      <c r="M38" s="90"/>
      <c r="N38" s="90"/>
    </row>
    <row r="39" spans="1:14" ht="15">
      <c r="A39" s="24"/>
      <c r="B39" s="120" t="s">
        <v>246</v>
      </c>
      <c r="C39" s="89" t="s">
        <v>245</v>
      </c>
      <c r="D39" s="124">
        <f>D19</f>
        <v>25.78</v>
      </c>
      <c r="E39" s="125">
        <f>D32</f>
        <v>5.84</v>
      </c>
      <c r="F39" s="126">
        <v>140</v>
      </c>
      <c r="G39" s="124">
        <f>D39*$F$39/100</f>
        <v>36.092000000000006</v>
      </c>
      <c r="H39" s="124">
        <f>E39*F39/100</f>
        <v>8.176</v>
      </c>
      <c r="I39" s="127">
        <f>G39+H39</f>
        <v>44.26800000000001</v>
      </c>
      <c r="J39" s="90"/>
      <c r="K39" s="90"/>
      <c r="L39" s="90"/>
      <c r="M39" s="90"/>
      <c r="N39" s="90"/>
    </row>
    <row r="40" spans="1:14" ht="15">
      <c r="A40" s="24"/>
      <c r="B40" s="120" t="s">
        <v>247</v>
      </c>
      <c r="C40" s="89" t="s">
        <v>245</v>
      </c>
      <c r="D40" s="124">
        <f>C19</f>
        <v>129.99399999999997</v>
      </c>
      <c r="E40" s="125">
        <f>C32</f>
        <v>49.032999999999994</v>
      </c>
      <c r="F40" s="126">
        <v>110</v>
      </c>
      <c r="G40" s="124">
        <f>D40*F40/100</f>
        <v>142.99339999999995</v>
      </c>
      <c r="H40" s="124">
        <f>E40*F40/100</f>
        <v>53.93629999999999</v>
      </c>
      <c r="I40" s="127">
        <f>G40+H40</f>
        <v>196.92969999999994</v>
      </c>
      <c r="J40" s="90"/>
      <c r="K40" s="90"/>
      <c r="L40" s="90"/>
      <c r="M40" s="90"/>
      <c r="N40" s="90"/>
    </row>
    <row r="41" spans="1:14" ht="15">
      <c r="A41" s="24"/>
      <c r="B41" s="120" t="s">
        <v>248</v>
      </c>
      <c r="C41" s="89" t="s">
        <v>245</v>
      </c>
      <c r="D41" s="124"/>
      <c r="E41" s="125"/>
      <c r="F41" s="126"/>
      <c r="G41" s="124"/>
      <c r="H41" s="124"/>
      <c r="I41" s="127"/>
      <c r="J41" s="90"/>
      <c r="K41" s="90"/>
      <c r="L41" s="90"/>
      <c r="M41" s="90"/>
      <c r="N41" s="90"/>
    </row>
    <row r="42" spans="1:14" ht="15">
      <c r="A42" s="24"/>
      <c r="B42" s="120" t="s">
        <v>249</v>
      </c>
      <c r="C42" s="89" t="s">
        <v>245</v>
      </c>
      <c r="D42" s="124">
        <f>G19</f>
        <v>0</v>
      </c>
      <c r="E42" s="125">
        <f>G32</f>
        <v>0</v>
      </c>
      <c r="F42" s="126">
        <v>260</v>
      </c>
      <c r="G42" s="124">
        <f>D42*F42/100</f>
        <v>0</v>
      </c>
      <c r="H42" s="124">
        <f>E42*F42/100</f>
        <v>0</v>
      </c>
      <c r="I42" s="127">
        <f>G42+H42</f>
        <v>0</v>
      </c>
      <c r="J42" s="90"/>
      <c r="K42" s="90"/>
      <c r="L42" s="90"/>
      <c r="M42" s="90"/>
      <c r="N42" s="90"/>
    </row>
    <row r="43" spans="1:14" ht="15">
      <c r="A43" s="24"/>
      <c r="B43" s="120" t="s">
        <v>250</v>
      </c>
      <c r="C43" s="89" t="s">
        <v>245</v>
      </c>
      <c r="D43" s="124">
        <f>F19</f>
        <v>152.67000000000002</v>
      </c>
      <c r="E43" s="125">
        <f>F32</f>
        <v>196.3</v>
      </c>
      <c r="F43" s="126">
        <v>220</v>
      </c>
      <c r="G43" s="124">
        <f>D43*F43/100</f>
        <v>335.874</v>
      </c>
      <c r="H43" s="124">
        <f>E43*F43/100</f>
        <v>431.86</v>
      </c>
      <c r="I43" s="127">
        <f>G43+H43</f>
        <v>767.734</v>
      </c>
      <c r="J43" s="90"/>
      <c r="K43" s="90"/>
      <c r="L43" s="90"/>
      <c r="M43" s="90"/>
      <c r="N43" s="90"/>
    </row>
    <row r="44" spans="1:14" ht="15">
      <c r="A44" s="24"/>
      <c r="B44" s="120" t="s">
        <v>251</v>
      </c>
      <c r="C44" s="89" t="s">
        <v>245</v>
      </c>
      <c r="D44" s="124">
        <f>E19</f>
        <v>59.60800000000001</v>
      </c>
      <c r="E44" s="125">
        <f>E32</f>
        <v>61.66699999999999</v>
      </c>
      <c r="F44" s="126">
        <v>150</v>
      </c>
      <c r="G44" s="124">
        <f>D44*$F$44/100</f>
        <v>89.41200000000002</v>
      </c>
      <c r="H44" s="124">
        <f>E44*F44/100</f>
        <v>92.50049999999997</v>
      </c>
      <c r="I44" s="127">
        <f>G44+H44</f>
        <v>181.9125</v>
      </c>
      <c r="J44" s="90"/>
      <c r="K44" s="90"/>
      <c r="L44" s="90"/>
      <c r="M44" s="90"/>
      <c r="N44" s="90"/>
    </row>
    <row r="45" spans="1:14" ht="15">
      <c r="A45" s="24"/>
      <c r="B45" s="108" t="s">
        <v>252</v>
      </c>
      <c r="C45" s="128" t="s">
        <v>245</v>
      </c>
      <c r="D45" s="129">
        <f>SUM(D39:D44)</f>
        <v>368.05199999999996</v>
      </c>
      <c r="E45" s="129">
        <f>SUM(E39:E44)</f>
        <v>312.84</v>
      </c>
      <c r="F45" s="130"/>
      <c r="G45" s="131">
        <f>SUM(G39:G44)</f>
        <v>604.3714</v>
      </c>
      <c r="H45" s="131">
        <f>SUM(H39:H44)</f>
        <v>586.4728</v>
      </c>
      <c r="I45" s="129">
        <f>SUM(I39:I44)</f>
        <v>1190.8442</v>
      </c>
      <c r="J45" s="90"/>
      <c r="K45" s="132">
        <f>G45+G49</f>
        <v>1474.7074</v>
      </c>
      <c r="L45" s="132">
        <f>H45+H49</f>
        <v>1423.6640000000002</v>
      </c>
      <c r="M45" s="90"/>
      <c r="N45" s="90"/>
    </row>
    <row r="46" spans="1:14" ht="15">
      <c r="A46" s="24"/>
      <c r="B46" s="120" t="s">
        <v>129</v>
      </c>
      <c r="C46" s="88"/>
      <c r="D46" s="120"/>
      <c r="E46" s="28"/>
      <c r="F46" s="133"/>
      <c r="G46" s="120"/>
      <c r="H46" s="120"/>
      <c r="I46" s="127"/>
      <c r="J46" s="90"/>
      <c r="K46" s="90"/>
      <c r="L46" s="90"/>
      <c r="M46" s="90"/>
      <c r="N46" s="90"/>
    </row>
    <row r="47" spans="1:14" ht="15">
      <c r="A47" s="24"/>
      <c r="B47" s="120" t="s">
        <v>253</v>
      </c>
      <c r="C47" s="89" t="s">
        <v>245</v>
      </c>
      <c r="D47" s="134">
        <f>H19</f>
        <v>135.549</v>
      </c>
      <c r="E47" s="135">
        <f>H32</f>
        <v>147.17300000000003</v>
      </c>
      <c r="F47" s="133">
        <v>350</v>
      </c>
      <c r="G47" s="120">
        <f>F47*D47/100</f>
        <v>474.42150000000004</v>
      </c>
      <c r="H47" s="124">
        <f>E47*F47/100</f>
        <v>515.1055000000001</v>
      </c>
      <c r="I47" s="127">
        <f>G47+H47</f>
        <v>989.5270000000002</v>
      </c>
      <c r="J47" s="90"/>
      <c r="K47" s="90"/>
      <c r="L47" s="90"/>
      <c r="M47" s="90"/>
      <c r="N47" s="90"/>
    </row>
    <row r="48" spans="1:14" ht="15">
      <c r="A48" s="24"/>
      <c r="B48" s="120" t="s">
        <v>254</v>
      </c>
      <c r="C48" s="89" t="s">
        <v>245</v>
      </c>
      <c r="D48" s="134">
        <f>I19</f>
        <v>146.63500000000002</v>
      </c>
      <c r="E48" s="135">
        <f>I32</f>
        <v>119.291</v>
      </c>
      <c r="F48" s="133">
        <v>270</v>
      </c>
      <c r="G48" s="124">
        <f>D48*$F$48/100</f>
        <v>395.91450000000003</v>
      </c>
      <c r="H48" s="124">
        <f>E48*F48/100</f>
        <v>322.0857</v>
      </c>
      <c r="I48" s="127">
        <f>G48+H48</f>
        <v>718.0002</v>
      </c>
      <c r="J48" s="90"/>
      <c r="K48" s="90"/>
      <c r="L48" s="90"/>
      <c r="M48" s="90"/>
      <c r="N48" s="90"/>
    </row>
    <row r="49" spans="1:14" ht="15">
      <c r="A49" s="24"/>
      <c r="B49" s="108" t="s">
        <v>255</v>
      </c>
      <c r="C49" s="128" t="s">
        <v>245</v>
      </c>
      <c r="D49" s="136">
        <f>SUM(D47:D48)</f>
        <v>282.184</v>
      </c>
      <c r="E49" s="136">
        <f>SUM(E47:E48)</f>
        <v>266.46400000000006</v>
      </c>
      <c r="F49" s="137"/>
      <c r="G49" s="131">
        <f>SUM(G47:G48)</f>
        <v>870.336</v>
      </c>
      <c r="H49" s="131">
        <f>SUM(H47:H48)</f>
        <v>837.1912000000001</v>
      </c>
      <c r="I49" s="129">
        <f>SUM(I47:I48)</f>
        <v>1707.5272</v>
      </c>
      <c r="J49" s="90"/>
      <c r="K49" s="90"/>
      <c r="L49" s="90"/>
      <c r="M49" s="90"/>
      <c r="N49" s="90"/>
    </row>
    <row r="50" spans="1:14" ht="15">
      <c r="A50" s="24"/>
      <c r="B50" s="133" t="s">
        <v>256</v>
      </c>
      <c r="C50" s="138"/>
      <c r="D50" s="28"/>
      <c r="E50" s="120"/>
      <c r="F50" s="133"/>
      <c r="G50" s="120"/>
      <c r="H50" s="120"/>
      <c r="I50" s="127"/>
      <c r="J50" s="90"/>
      <c r="K50" s="90"/>
      <c r="L50" s="90"/>
      <c r="M50" s="90"/>
      <c r="N50" s="90"/>
    </row>
    <row r="51" spans="1:14" ht="15">
      <c r="A51" s="24"/>
      <c r="B51" s="133" t="s">
        <v>257</v>
      </c>
      <c r="C51" s="138" t="s">
        <v>258</v>
      </c>
      <c r="D51" s="135">
        <f>J19</f>
        <v>136</v>
      </c>
      <c r="E51" s="134">
        <f>J32</f>
        <v>113</v>
      </c>
      <c r="F51" s="133">
        <v>3.1</v>
      </c>
      <c r="G51" s="120">
        <f aca="true" t="shared" si="2" ref="G51:G56">F51*D51</f>
        <v>421.6</v>
      </c>
      <c r="H51" s="120">
        <f aca="true" t="shared" si="3" ref="H51:H56">E51*F51</f>
        <v>350.3</v>
      </c>
      <c r="I51" s="127">
        <f aca="true" t="shared" si="4" ref="I51:I56">G51+H51</f>
        <v>771.9000000000001</v>
      </c>
      <c r="J51" s="90"/>
      <c r="K51" s="90"/>
      <c r="L51" s="90"/>
      <c r="M51" s="90"/>
      <c r="N51" s="90"/>
    </row>
    <row r="52" spans="1:14" ht="15">
      <c r="A52" s="24"/>
      <c r="B52" s="133" t="s">
        <v>259</v>
      </c>
      <c r="C52" s="138" t="s">
        <v>258</v>
      </c>
      <c r="D52" s="139">
        <f>K19</f>
        <v>1586</v>
      </c>
      <c r="E52" s="140">
        <f>K32</f>
        <v>1175</v>
      </c>
      <c r="F52" s="133">
        <v>2.3</v>
      </c>
      <c r="G52" s="120">
        <f t="shared" si="2"/>
        <v>3647.7999999999997</v>
      </c>
      <c r="H52" s="120">
        <f t="shared" si="3"/>
        <v>2702.5</v>
      </c>
      <c r="I52" s="127">
        <f t="shared" si="4"/>
        <v>6350.299999999999</v>
      </c>
      <c r="J52" s="90"/>
      <c r="K52" s="90"/>
      <c r="L52" s="90"/>
      <c r="M52" s="90"/>
      <c r="N52" s="90"/>
    </row>
    <row r="53" spans="1:14" ht="15">
      <c r="A53" s="24"/>
      <c r="B53" s="133" t="s">
        <v>260</v>
      </c>
      <c r="C53" s="138" t="s">
        <v>258</v>
      </c>
      <c r="D53" s="28">
        <v>1</v>
      </c>
      <c r="E53" s="120"/>
      <c r="F53" s="141">
        <v>26</v>
      </c>
      <c r="G53" s="120">
        <f t="shared" si="2"/>
        <v>26</v>
      </c>
      <c r="H53" s="120">
        <f t="shared" si="3"/>
        <v>0</v>
      </c>
      <c r="I53" s="127">
        <f t="shared" si="4"/>
        <v>26</v>
      </c>
      <c r="J53" s="90"/>
      <c r="K53" s="90"/>
      <c r="L53" s="90"/>
      <c r="M53" s="90"/>
      <c r="N53" s="90"/>
    </row>
    <row r="54" spans="1:14" ht="15">
      <c r="A54" s="24"/>
      <c r="B54" s="133" t="s">
        <v>261</v>
      </c>
      <c r="C54" s="138" t="s">
        <v>258</v>
      </c>
      <c r="D54" s="135">
        <f>L19</f>
        <v>7</v>
      </c>
      <c r="E54" s="134">
        <f>L32</f>
        <v>4</v>
      </c>
      <c r="F54" s="133">
        <v>2.5</v>
      </c>
      <c r="G54" s="120">
        <f t="shared" si="2"/>
        <v>17.5</v>
      </c>
      <c r="H54" s="120">
        <f t="shared" si="3"/>
        <v>10</v>
      </c>
      <c r="I54" s="127">
        <f t="shared" si="4"/>
        <v>27.5</v>
      </c>
      <c r="J54" s="90"/>
      <c r="K54" s="90"/>
      <c r="L54" s="90"/>
      <c r="M54" s="90"/>
      <c r="N54" s="90"/>
    </row>
    <row r="55" spans="1:14" ht="15">
      <c r="A55" s="24"/>
      <c r="B55" s="133" t="s">
        <v>262</v>
      </c>
      <c r="C55" s="138" t="s">
        <v>258</v>
      </c>
      <c r="D55" s="135">
        <f>M19</f>
        <v>90</v>
      </c>
      <c r="E55" s="134">
        <f>M32</f>
        <v>59</v>
      </c>
      <c r="F55" s="133">
        <v>2.3</v>
      </c>
      <c r="G55" s="120">
        <f t="shared" si="2"/>
        <v>206.99999999999997</v>
      </c>
      <c r="H55" s="120">
        <f t="shared" si="3"/>
        <v>135.7</v>
      </c>
      <c r="I55" s="127">
        <f t="shared" si="4"/>
        <v>342.69999999999993</v>
      </c>
      <c r="J55" s="90"/>
      <c r="K55" s="90"/>
      <c r="L55" s="90"/>
      <c r="M55" s="90"/>
      <c r="N55" s="90"/>
    </row>
    <row r="56" spans="1:14" ht="15">
      <c r="A56" s="24"/>
      <c r="B56" s="133" t="s">
        <v>263</v>
      </c>
      <c r="C56" s="99" t="s">
        <v>258</v>
      </c>
      <c r="D56" s="135">
        <f>N19</f>
        <v>179</v>
      </c>
      <c r="E56" s="134">
        <f>N32</f>
        <v>147</v>
      </c>
      <c r="F56" s="142">
        <v>3</v>
      </c>
      <c r="G56" s="120">
        <f t="shared" si="2"/>
        <v>537</v>
      </c>
      <c r="H56" s="120">
        <f t="shared" si="3"/>
        <v>441</v>
      </c>
      <c r="I56" s="127">
        <f t="shared" si="4"/>
        <v>978</v>
      </c>
      <c r="J56" s="90"/>
      <c r="K56" s="90"/>
      <c r="L56" s="90"/>
      <c r="M56" s="90"/>
      <c r="N56" s="90"/>
    </row>
    <row r="57" spans="1:14" ht="15">
      <c r="A57" s="24"/>
      <c r="B57" s="108" t="s">
        <v>264</v>
      </c>
      <c r="C57" s="143"/>
      <c r="D57" s="144"/>
      <c r="E57" s="129"/>
      <c r="F57" s="144"/>
      <c r="G57" s="131">
        <f>SUM(G51:G56)</f>
        <v>4856.9</v>
      </c>
      <c r="H57" s="131">
        <f>SUM(H51:H56)</f>
        <v>3639.5</v>
      </c>
      <c r="I57" s="129">
        <f>SUM(I51:I56)</f>
        <v>8496.399999999998</v>
      </c>
      <c r="J57" s="90"/>
      <c r="K57" s="90"/>
      <c r="L57" s="90"/>
      <c r="M57" s="90"/>
      <c r="N57" s="145"/>
    </row>
    <row r="58" spans="1:14" ht="15">
      <c r="A58" s="113"/>
      <c r="B58" s="146" t="s">
        <v>265</v>
      </c>
      <c r="C58" s="147"/>
      <c r="D58" s="148"/>
      <c r="E58" s="146"/>
      <c r="F58" s="148"/>
      <c r="G58" s="149">
        <f>G57+G49+G45</f>
        <v>6331.6074</v>
      </c>
      <c r="H58" s="149">
        <f>H57+H49+H45</f>
        <v>5063.164000000001</v>
      </c>
      <c r="I58" s="150">
        <f>I57+I49+I45</f>
        <v>11394.771399999998</v>
      </c>
      <c r="J58" s="117"/>
      <c r="K58" s="117"/>
      <c r="L58" s="117"/>
      <c r="M58" s="117"/>
      <c r="N58" s="117"/>
    </row>
    <row r="59" spans="1:14" ht="15">
      <c r="A59" s="24"/>
      <c r="B59" s="100"/>
      <c r="C59" s="151"/>
      <c r="D59" s="151"/>
      <c r="E59" s="151"/>
      <c r="F59" s="151"/>
      <c r="G59" s="152">
        <f>G58/$I$58</f>
        <v>0.5556590104124424</v>
      </c>
      <c r="H59" s="153">
        <f>H58/$I$58</f>
        <v>0.4443409895875578</v>
      </c>
      <c r="I59" s="153">
        <f>I58/$I$58</f>
        <v>1</v>
      </c>
      <c r="J59" s="154"/>
      <c r="K59" s="90"/>
      <c r="L59" s="90"/>
      <c r="M59" s="90"/>
      <c r="N59" s="90"/>
    </row>
    <row r="60" spans="1:14" ht="15">
      <c r="A60" s="24"/>
      <c r="B60" s="28"/>
      <c r="C60" s="28"/>
      <c r="D60" s="28"/>
      <c r="E60" s="28"/>
      <c r="F60" s="28"/>
      <c r="G60" s="155"/>
      <c r="H60" s="155"/>
      <c r="I60" s="155"/>
      <c r="J60" s="154"/>
      <c r="K60" s="90"/>
      <c r="L60" s="90"/>
      <c r="M60" s="90"/>
      <c r="N60" s="90"/>
    </row>
    <row r="61" spans="1:14" ht="18.75">
      <c r="A61" s="154" t="s">
        <v>111</v>
      </c>
      <c r="B61" s="93" t="s">
        <v>266</v>
      </c>
      <c r="C61" s="157"/>
      <c r="D61" s="157"/>
      <c r="E61" s="157"/>
      <c r="F61" s="157"/>
      <c r="G61" s="158"/>
      <c r="H61" s="158"/>
      <c r="I61" s="90"/>
      <c r="J61" s="90"/>
      <c r="K61" s="90"/>
      <c r="L61" s="90"/>
      <c r="M61" s="90"/>
      <c r="N61" s="90"/>
    </row>
    <row r="62" spans="1:14" ht="18.75">
      <c r="A62" s="154"/>
      <c r="B62" s="93" t="s">
        <v>273</v>
      </c>
      <c r="C62" s="157"/>
      <c r="D62" s="157"/>
      <c r="E62" s="157"/>
      <c r="F62" s="157"/>
      <c r="G62" s="158"/>
      <c r="H62" s="158"/>
      <c r="I62" s="90"/>
      <c r="J62" s="90"/>
      <c r="K62" s="90"/>
      <c r="L62" s="90"/>
      <c r="M62" s="90"/>
      <c r="N62" s="90"/>
    </row>
    <row r="63" spans="1:14" ht="15">
      <c r="A63" s="154"/>
      <c r="B63" s="240" t="s">
        <v>235</v>
      </c>
      <c r="C63" s="115" t="s">
        <v>236</v>
      </c>
      <c r="D63" s="242" t="s">
        <v>237</v>
      </c>
      <c r="E63" s="243"/>
      <c r="F63" s="116" t="s">
        <v>238</v>
      </c>
      <c r="G63" s="232" t="s">
        <v>239</v>
      </c>
      <c r="H63" s="233"/>
      <c r="I63" s="114" t="s">
        <v>240</v>
      </c>
      <c r="J63" s="250" t="s">
        <v>124</v>
      </c>
      <c r="K63" s="90"/>
      <c r="L63" s="90"/>
      <c r="M63" s="90"/>
      <c r="N63" s="90"/>
    </row>
    <row r="64" spans="1:14" ht="15">
      <c r="A64" s="154"/>
      <c r="B64" s="241"/>
      <c r="C64" s="118" t="s">
        <v>241</v>
      </c>
      <c r="D64" s="97" t="s">
        <v>242</v>
      </c>
      <c r="E64" s="118" t="s">
        <v>142</v>
      </c>
      <c r="F64" s="98" t="s">
        <v>243</v>
      </c>
      <c r="G64" s="97" t="s">
        <v>242</v>
      </c>
      <c r="H64" s="118" t="s">
        <v>142</v>
      </c>
      <c r="I64" s="119"/>
      <c r="J64" s="251"/>
      <c r="K64" s="90"/>
      <c r="L64" s="90"/>
      <c r="M64" s="90"/>
      <c r="N64" s="90"/>
    </row>
    <row r="65" spans="1:14" ht="15">
      <c r="A65" s="154"/>
      <c r="B65" s="100" t="s">
        <v>106</v>
      </c>
      <c r="C65" s="97"/>
      <c r="D65" s="100"/>
      <c r="E65" s="100"/>
      <c r="F65" s="25"/>
      <c r="G65" s="100"/>
      <c r="H65" s="100"/>
      <c r="I65" s="100"/>
      <c r="J65" s="102"/>
      <c r="K65" s="90"/>
      <c r="L65" s="90"/>
      <c r="M65" s="90"/>
      <c r="N65" s="90"/>
    </row>
    <row r="66" spans="1:14" ht="15">
      <c r="A66" s="154"/>
      <c r="B66" s="100" t="s">
        <v>244</v>
      </c>
      <c r="C66" s="97" t="s">
        <v>245</v>
      </c>
      <c r="D66" s="165"/>
      <c r="E66" s="165"/>
      <c r="F66" s="165"/>
      <c r="G66" s="165"/>
      <c r="H66" s="165"/>
      <c r="I66" s="100"/>
      <c r="J66" s="102"/>
      <c r="K66" s="90"/>
      <c r="L66" s="90"/>
      <c r="M66" s="90"/>
      <c r="N66" s="90"/>
    </row>
    <row r="67" spans="1:14" ht="15">
      <c r="A67" s="154"/>
      <c r="B67" s="100" t="s">
        <v>246</v>
      </c>
      <c r="C67" s="97" t="s">
        <v>245</v>
      </c>
      <c r="D67" s="165"/>
      <c r="E67" s="165"/>
      <c r="F67" s="165">
        <v>140</v>
      </c>
      <c r="G67" s="165">
        <f>D67*$F$39/100</f>
        <v>0</v>
      </c>
      <c r="H67" s="165">
        <f>E67*F67/100</f>
        <v>0</v>
      </c>
      <c r="I67" s="165">
        <f>G67+H67</f>
        <v>0</v>
      </c>
      <c r="J67" s="102"/>
      <c r="K67" s="90"/>
      <c r="L67" s="90"/>
      <c r="M67" s="90"/>
      <c r="N67" s="90"/>
    </row>
    <row r="68" spans="1:14" ht="21" customHeight="1">
      <c r="A68" s="154"/>
      <c r="B68" s="100" t="s">
        <v>275</v>
      </c>
      <c r="C68" s="97" t="s">
        <v>245</v>
      </c>
      <c r="D68" s="194">
        <f>4.33+0.835</f>
        <v>5.165</v>
      </c>
      <c r="E68" s="165"/>
      <c r="F68" s="165">
        <v>110</v>
      </c>
      <c r="G68" s="165">
        <f>D68*F68/100</f>
        <v>5.6815</v>
      </c>
      <c r="H68" s="165">
        <f>E68*F68/100</f>
        <v>0</v>
      </c>
      <c r="I68" s="166">
        <f>G68+H68</f>
        <v>5.6815</v>
      </c>
      <c r="J68" s="164" t="s">
        <v>274</v>
      </c>
      <c r="K68" s="90"/>
      <c r="L68" s="90"/>
      <c r="M68" s="90"/>
      <c r="N68" s="90"/>
    </row>
    <row r="69" spans="1:14" ht="15">
      <c r="A69" s="154"/>
      <c r="B69" s="100" t="s">
        <v>248</v>
      </c>
      <c r="C69" s="97" t="s">
        <v>245</v>
      </c>
      <c r="D69" s="173"/>
      <c r="E69" s="165"/>
      <c r="F69" s="165"/>
      <c r="G69" s="165"/>
      <c r="H69" s="165"/>
      <c r="I69" s="165"/>
      <c r="J69" s="102"/>
      <c r="K69" s="90"/>
      <c r="L69" s="90"/>
      <c r="M69" s="90"/>
      <c r="N69" s="90"/>
    </row>
    <row r="70" spans="1:14" ht="15">
      <c r="A70" s="154"/>
      <c r="B70" s="100" t="s">
        <v>249</v>
      </c>
      <c r="C70" s="97" t="s">
        <v>245</v>
      </c>
      <c r="D70" s="173"/>
      <c r="E70" s="165"/>
      <c r="F70" s="165">
        <v>260</v>
      </c>
      <c r="G70" s="165">
        <f>D70*F70/100</f>
        <v>0</v>
      </c>
      <c r="H70" s="165">
        <f>E70*F70/100</f>
        <v>0</v>
      </c>
      <c r="I70" s="165">
        <f>G70+H70</f>
        <v>0</v>
      </c>
      <c r="J70" s="102"/>
      <c r="K70" s="90"/>
      <c r="L70" s="90"/>
      <c r="M70" s="90"/>
      <c r="N70" s="90"/>
    </row>
    <row r="71" spans="1:14" ht="15">
      <c r="A71" s="154"/>
      <c r="B71" s="100" t="s">
        <v>250</v>
      </c>
      <c r="C71" s="97" t="s">
        <v>245</v>
      </c>
      <c r="D71" s="173"/>
      <c r="E71" s="165"/>
      <c r="F71" s="165">
        <v>220</v>
      </c>
      <c r="G71" s="165">
        <f>D71*F71/100</f>
        <v>0</v>
      </c>
      <c r="H71" s="165">
        <f>E71*F71/100</f>
        <v>0</v>
      </c>
      <c r="I71" s="165">
        <f>G71+H71</f>
        <v>0</v>
      </c>
      <c r="J71" s="102"/>
      <c r="K71" s="90"/>
      <c r="L71" s="90"/>
      <c r="M71" s="90"/>
      <c r="N71" s="90"/>
    </row>
    <row r="72" spans="1:14" ht="19.5" customHeight="1">
      <c r="A72" s="154"/>
      <c r="B72" s="100" t="s">
        <v>276</v>
      </c>
      <c r="C72" s="97" t="s">
        <v>245</v>
      </c>
      <c r="D72" s="174"/>
      <c r="E72" s="174">
        <f>3.385+4.827</f>
        <v>8.212</v>
      </c>
      <c r="F72" s="165">
        <v>150</v>
      </c>
      <c r="G72" s="165">
        <f>D72*$F$44/100</f>
        <v>0</v>
      </c>
      <c r="H72" s="165">
        <f>E72*F72/100</f>
        <v>12.318</v>
      </c>
      <c r="I72" s="166">
        <f>G72+H72</f>
        <v>12.318</v>
      </c>
      <c r="J72" s="164" t="s">
        <v>274</v>
      </c>
      <c r="K72" s="90"/>
      <c r="L72" s="90"/>
      <c r="M72" s="90"/>
      <c r="N72" s="90"/>
    </row>
    <row r="73" spans="1:14" ht="15">
      <c r="A73" s="154"/>
      <c r="B73" s="108" t="s">
        <v>252</v>
      </c>
      <c r="C73" s="97" t="s">
        <v>245</v>
      </c>
      <c r="D73" s="175">
        <f>SUM(D67:D72)</f>
        <v>5.165</v>
      </c>
      <c r="E73" s="175">
        <f>SUM(E67:E72)</f>
        <v>8.212</v>
      </c>
      <c r="F73" s="100"/>
      <c r="G73" s="131">
        <f>SUM(G67:G72)</f>
        <v>5.6815</v>
      </c>
      <c r="H73" s="131">
        <f>SUM(H67:H72)</f>
        <v>12.318</v>
      </c>
      <c r="I73" s="131">
        <f>SUM(I67:I72)</f>
        <v>17.999499999999998</v>
      </c>
      <c r="J73" s="102"/>
      <c r="K73" s="90"/>
      <c r="L73" s="90"/>
      <c r="M73" s="90"/>
      <c r="N73" s="90"/>
    </row>
    <row r="74" spans="1:14" ht="15">
      <c r="A74" s="154"/>
      <c r="B74" s="100" t="s">
        <v>129</v>
      </c>
      <c r="C74" s="26"/>
      <c r="D74" s="176"/>
      <c r="E74" s="100"/>
      <c r="F74" s="100"/>
      <c r="G74" s="100"/>
      <c r="H74" s="100"/>
      <c r="I74" s="165"/>
      <c r="J74" s="102"/>
      <c r="K74" s="90"/>
      <c r="L74" s="90"/>
      <c r="M74" s="90"/>
      <c r="N74" s="90"/>
    </row>
    <row r="75" spans="1:14" ht="24" customHeight="1">
      <c r="A75" s="154"/>
      <c r="B75" s="100" t="s">
        <v>277</v>
      </c>
      <c r="C75" s="97" t="s">
        <v>245</v>
      </c>
      <c r="D75" s="196">
        <v>3.65</v>
      </c>
      <c r="E75" s="107"/>
      <c r="F75" s="100">
        <v>350</v>
      </c>
      <c r="G75" s="100">
        <f>F75*D75/100</f>
        <v>12.775</v>
      </c>
      <c r="H75" s="165">
        <f>E75*F75/100</f>
        <v>0</v>
      </c>
      <c r="I75" s="165">
        <f>G75+H75</f>
        <v>12.775</v>
      </c>
      <c r="J75" s="164" t="s">
        <v>274</v>
      </c>
      <c r="K75" s="90"/>
      <c r="L75" s="90"/>
      <c r="M75" s="90"/>
      <c r="N75" s="90"/>
    </row>
    <row r="76" spans="1:14" ht="15">
      <c r="A76" s="154"/>
      <c r="B76" s="100" t="s">
        <v>279</v>
      </c>
      <c r="C76" s="97"/>
      <c r="D76" s="178"/>
      <c r="E76" s="195">
        <f>0.2+0.18</f>
        <v>0.38</v>
      </c>
      <c r="F76" s="100">
        <v>270</v>
      </c>
      <c r="G76" s="165">
        <f>D76*$F$48/100</f>
        <v>0</v>
      </c>
      <c r="H76" s="165">
        <f>E76*F76/100</f>
        <v>1.026</v>
      </c>
      <c r="I76" s="165">
        <f>G76+H76</f>
        <v>1.026</v>
      </c>
      <c r="J76" s="164" t="s">
        <v>274</v>
      </c>
      <c r="K76" s="90"/>
      <c r="L76" s="90"/>
      <c r="M76" s="90"/>
      <c r="N76" s="90"/>
    </row>
    <row r="77" spans="1:14" ht="15">
      <c r="A77" s="154"/>
      <c r="B77" s="108" t="s">
        <v>255</v>
      </c>
      <c r="C77" s="97" t="s">
        <v>245</v>
      </c>
      <c r="D77" s="179">
        <f>SUM(D75:D76)</f>
        <v>3.65</v>
      </c>
      <c r="E77" s="179">
        <f>SUM(E75:E76)</f>
        <v>0.38</v>
      </c>
      <c r="F77" s="108"/>
      <c r="G77" s="131">
        <f>SUM(G75:G76)</f>
        <v>12.775</v>
      </c>
      <c r="H77" s="131">
        <f>SUM(H75:H76)</f>
        <v>1.026</v>
      </c>
      <c r="I77" s="131">
        <f>SUM(I75:I76)</f>
        <v>13.801</v>
      </c>
      <c r="J77" s="102"/>
      <c r="K77" s="90"/>
      <c r="L77" s="90"/>
      <c r="M77" s="90"/>
      <c r="N77" s="90"/>
    </row>
    <row r="78" spans="1:14" ht="15">
      <c r="A78" s="154"/>
      <c r="B78" s="108" t="s">
        <v>256</v>
      </c>
      <c r="C78" s="97"/>
      <c r="D78" s="176"/>
      <c r="E78" s="100"/>
      <c r="F78" s="100"/>
      <c r="G78" s="100"/>
      <c r="H78" s="100"/>
      <c r="I78" s="165"/>
      <c r="J78" s="102"/>
      <c r="K78" s="90"/>
      <c r="L78" s="90"/>
      <c r="M78" s="90"/>
      <c r="N78" s="90"/>
    </row>
    <row r="79" spans="1:14" ht="15">
      <c r="A79" s="154"/>
      <c r="B79" s="100" t="s">
        <v>257</v>
      </c>
      <c r="C79" s="97" t="s">
        <v>258</v>
      </c>
      <c r="D79" s="180">
        <v>14</v>
      </c>
      <c r="E79" s="107"/>
      <c r="F79" s="100">
        <v>3.1</v>
      </c>
      <c r="G79" s="100">
        <f aca="true" t="shared" si="5" ref="G79:G85">F79*D79</f>
        <v>43.4</v>
      </c>
      <c r="H79" s="100">
        <f aca="true" t="shared" si="6" ref="H79:H85">E79*F79</f>
        <v>0</v>
      </c>
      <c r="I79" s="165">
        <f aca="true" t="shared" si="7" ref="I79:I85">G79+H79</f>
        <v>43.4</v>
      </c>
      <c r="J79" s="102"/>
      <c r="K79" s="90"/>
      <c r="L79" s="90"/>
      <c r="M79" s="90"/>
      <c r="N79" s="90"/>
    </row>
    <row r="80" spans="1:14" ht="15">
      <c r="A80" s="154"/>
      <c r="B80" s="100" t="s">
        <v>259</v>
      </c>
      <c r="C80" s="97" t="s">
        <v>258</v>
      </c>
      <c r="D80" s="198">
        <v>19</v>
      </c>
      <c r="E80" s="167"/>
      <c r="F80" s="100">
        <v>2.3</v>
      </c>
      <c r="G80" s="100">
        <f>F80*D80/100</f>
        <v>0.43699999999999994</v>
      </c>
      <c r="H80" s="100">
        <f t="shared" si="6"/>
        <v>0</v>
      </c>
      <c r="I80" s="165">
        <f t="shared" si="7"/>
        <v>0.43699999999999994</v>
      </c>
      <c r="J80" s="102"/>
      <c r="K80" s="90"/>
      <c r="L80" s="90"/>
      <c r="M80" s="90"/>
      <c r="N80" s="90"/>
    </row>
    <row r="81" spans="1:14" ht="15">
      <c r="A81" s="154"/>
      <c r="B81" s="100" t="s">
        <v>260</v>
      </c>
      <c r="C81" s="97" t="s">
        <v>258</v>
      </c>
      <c r="D81" s="176"/>
      <c r="E81" s="100"/>
      <c r="F81" s="107">
        <v>26</v>
      </c>
      <c r="G81" s="100">
        <f t="shared" si="5"/>
        <v>0</v>
      </c>
      <c r="H81" s="100">
        <f t="shared" si="6"/>
        <v>0</v>
      </c>
      <c r="I81" s="165">
        <f t="shared" si="7"/>
        <v>0</v>
      </c>
      <c r="J81" s="102"/>
      <c r="K81" s="90"/>
      <c r="L81" s="90"/>
      <c r="M81" s="90"/>
      <c r="N81" s="90"/>
    </row>
    <row r="82" spans="1:14" ht="15">
      <c r="A82" s="154"/>
      <c r="B82" s="100" t="s">
        <v>280</v>
      </c>
      <c r="C82" s="97" t="s">
        <v>258</v>
      </c>
      <c r="D82" s="197">
        <v>9</v>
      </c>
      <c r="E82" s="100"/>
      <c r="F82" s="107">
        <v>1</v>
      </c>
      <c r="G82" s="100">
        <f>F82*D82/100</f>
        <v>0.09</v>
      </c>
      <c r="H82" s="100">
        <f>E82*F82</f>
        <v>0</v>
      </c>
      <c r="I82" s="166">
        <f>G82+H82</f>
        <v>0.09</v>
      </c>
      <c r="J82" s="102"/>
      <c r="K82" s="90"/>
      <c r="L82" s="90"/>
      <c r="M82" s="90"/>
      <c r="N82" s="90"/>
    </row>
    <row r="83" spans="1:14" ht="15">
      <c r="A83" s="154"/>
      <c r="B83" s="100" t="s">
        <v>281</v>
      </c>
      <c r="C83" s="97" t="s">
        <v>258</v>
      </c>
      <c r="D83" s="199">
        <v>2</v>
      </c>
      <c r="E83" s="107"/>
      <c r="F83" s="100">
        <v>2.5</v>
      </c>
      <c r="G83" s="100">
        <f t="shared" si="5"/>
        <v>5</v>
      </c>
      <c r="H83" s="100">
        <f t="shared" si="6"/>
        <v>0</v>
      </c>
      <c r="I83" s="165">
        <f t="shared" si="7"/>
        <v>5</v>
      </c>
      <c r="J83" s="102"/>
      <c r="K83" s="90"/>
      <c r="L83" s="90"/>
      <c r="M83" s="90"/>
      <c r="N83" s="90"/>
    </row>
    <row r="84" spans="1:14" ht="18" customHeight="1">
      <c r="A84" s="154"/>
      <c r="B84" s="100" t="s">
        <v>283</v>
      </c>
      <c r="C84" s="97" t="s">
        <v>258</v>
      </c>
      <c r="D84" s="107">
        <v>5</v>
      </c>
      <c r="E84" s="107"/>
      <c r="F84" s="100">
        <v>2.3</v>
      </c>
      <c r="G84" s="100">
        <f>F84*D84</f>
        <v>11.5</v>
      </c>
      <c r="H84" s="100">
        <f>E84*F84</f>
        <v>0</v>
      </c>
      <c r="I84" s="165">
        <f>G84+H84</f>
        <v>11.5</v>
      </c>
      <c r="J84" s="164" t="s">
        <v>274</v>
      </c>
      <c r="K84" s="90"/>
      <c r="L84" s="90"/>
      <c r="M84" s="90"/>
      <c r="N84" s="90"/>
    </row>
    <row r="85" spans="1:14" ht="15">
      <c r="A85" s="154"/>
      <c r="B85" s="100" t="s">
        <v>284</v>
      </c>
      <c r="C85" s="97" t="s">
        <v>258</v>
      </c>
      <c r="D85" s="107">
        <v>4</v>
      </c>
      <c r="E85" s="107"/>
      <c r="F85" s="107">
        <v>3</v>
      </c>
      <c r="G85" s="100">
        <f t="shared" si="5"/>
        <v>12</v>
      </c>
      <c r="H85" s="100">
        <f t="shared" si="6"/>
        <v>0</v>
      </c>
      <c r="I85" s="165">
        <f t="shared" si="7"/>
        <v>12</v>
      </c>
      <c r="J85" s="164" t="s">
        <v>274</v>
      </c>
      <c r="K85" s="90"/>
      <c r="L85" s="90"/>
      <c r="M85" s="90"/>
      <c r="N85" s="90"/>
    </row>
    <row r="86" spans="1:14" ht="15">
      <c r="A86" s="154"/>
      <c r="B86" s="108" t="s">
        <v>264</v>
      </c>
      <c r="C86" s="168"/>
      <c r="D86" s="129"/>
      <c r="E86" s="129"/>
      <c r="F86" s="129"/>
      <c r="G86" s="131">
        <f>SUM(G79:G85)</f>
        <v>72.42699999999999</v>
      </c>
      <c r="H86" s="131">
        <f>SUM(H79:H85)</f>
        <v>0</v>
      </c>
      <c r="I86" s="129">
        <f>SUM(I79:I85)</f>
        <v>72.42699999999999</v>
      </c>
      <c r="J86" s="102"/>
      <c r="K86" s="90"/>
      <c r="L86" s="90"/>
      <c r="M86" s="90"/>
      <c r="N86" s="90"/>
    </row>
    <row r="87" spans="1:14" ht="15">
      <c r="A87" s="154"/>
      <c r="B87" s="146" t="s">
        <v>265</v>
      </c>
      <c r="C87" s="146"/>
      <c r="D87" s="146"/>
      <c r="E87" s="146"/>
      <c r="F87" s="146"/>
      <c r="G87" s="169">
        <f>G86+G77+G73</f>
        <v>90.8835</v>
      </c>
      <c r="H87" s="169">
        <f>H86+H77+H73</f>
        <v>13.344</v>
      </c>
      <c r="I87" s="169">
        <f>I86+I77+I73</f>
        <v>104.22749999999999</v>
      </c>
      <c r="J87" s="102"/>
      <c r="K87" s="90"/>
      <c r="L87" s="90"/>
      <c r="M87" s="90"/>
      <c r="N87" s="90"/>
    </row>
    <row r="88" spans="1:14" ht="15">
      <c r="A88" s="159"/>
      <c r="B88" s="90"/>
      <c r="C88" s="90"/>
      <c r="D88" s="90"/>
      <c r="E88" s="90"/>
      <c r="F88" s="90"/>
      <c r="G88" s="90"/>
      <c r="H88" s="90"/>
      <c r="I88" s="90"/>
      <c r="J88" s="90"/>
      <c r="K88" s="90"/>
      <c r="L88" s="90"/>
      <c r="M88" s="90"/>
      <c r="N88" s="90"/>
    </row>
    <row r="89" spans="1:14" ht="18.75">
      <c r="A89" s="159" t="s">
        <v>112</v>
      </c>
      <c r="B89" s="93" t="s">
        <v>289</v>
      </c>
      <c r="C89" s="94"/>
      <c r="D89" s="192"/>
      <c r="E89" s="192"/>
      <c r="F89" s="28"/>
      <c r="G89" s="192"/>
      <c r="H89" s="192"/>
      <c r="I89" s="192"/>
      <c r="J89" s="90"/>
      <c r="K89" s="90"/>
      <c r="L89" s="90"/>
      <c r="M89" s="90"/>
      <c r="N89" s="90"/>
    </row>
    <row r="90" spans="1:14" ht="15">
      <c r="A90" s="95" t="s">
        <v>190</v>
      </c>
      <c r="B90" s="96" t="s">
        <v>191</v>
      </c>
      <c r="C90" s="234" t="s">
        <v>194</v>
      </c>
      <c r="D90" s="235"/>
      <c r="E90" s="236" t="s">
        <v>195</v>
      </c>
      <c r="F90" s="236"/>
      <c r="G90" s="236"/>
      <c r="H90" s="237"/>
      <c r="I90" s="237"/>
      <c r="J90" s="90"/>
      <c r="K90" s="90"/>
      <c r="L90" s="90"/>
      <c r="M90" s="90"/>
      <c r="N90" s="90"/>
    </row>
    <row r="91" spans="1:14" ht="15">
      <c r="A91" s="98" t="s">
        <v>196</v>
      </c>
      <c r="B91" s="99" t="s">
        <v>197</v>
      </c>
      <c r="C91" s="27" t="s">
        <v>200</v>
      </c>
      <c r="D91" s="27" t="s">
        <v>200</v>
      </c>
      <c r="E91" s="27" t="s">
        <v>201</v>
      </c>
      <c r="F91" s="27" t="s">
        <v>202</v>
      </c>
      <c r="G91" s="27" t="s">
        <v>203</v>
      </c>
      <c r="H91" s="94"/>
      <c r="I91" s="94"/>
      <c r="J91" s="90"/>
      <c r="K91" s="90"/>
      <c r="L91" s="90"/>
      <c r="M91" s="90"/>
      <c r="N91" s="90"/>
    </row>
    <row r="92" spans="1:14" ht="15">
      <c r="A92" s="99"/>
      <c r="B92" s="99"/>
      <c r="C92" s="27" t="s">
        <v>207</v>
      </c>
      <c r="D92" s="27" t="s">
        <v>208</v>
      </c>
      <c r="E92" s="27" t="s">
        <v>209</v>
      </c>
      <c r="F92" s="27" t="s">
        <v>209</v>
      </c>
      <c r="G92" s="27" t="s">
        <v>209</v>
      </c>
      <c r="H92" s="28"/>
      <c r="I92" s="28"/>
      <c r="J92" s="90"/>
      <c r="K92" s="90"/>
      <c r="L92" s="90"/>
      <c r="M92" s="90"/>
      <c r="N92" s="90"/>
    </row>
    <row r="93" spans="1:14" ht="15">
      <c r="A93" s="97"/>
      <c r="B93" s="97"/>
      <c r="C93" s="27" t="s">
        <v>212</v>
      </c>
      <c r="D93" s="27" t="s">
        <v>213</v>
      </c>
      <c r="E93" s="101"/>
      <c r="F93" s="101"/>
      <c r="G93" s="102"/>
      <c r="H93" s="28"/>
      <c r="I93" s="28"/>
      <c r="J93" s="90"/>
      <c r="K93" s="90"/>
      <c r="L93" s="90"/>
      <c r="M93" s="90"/>
      <c r="N93" s="90"/>
    </row>
    <row r="94" spans="1:14" ht="15">
      <c r="A94" s="101">
        <v>1</v>
      </c>
      <c r="B94" s="101" t="s">
        <v>227</v>
      </c>
      <c r="C94" s="101">
        <v>4</v>
      </c>
      <c r="D94" s="101">
        <v>12</v>
      </c>
      <c r="E94" s="101"/>
      <c r="F94" s="101"/>
      <c r="G94" s="101">
        <v>1</v>
      </c>
      <c r="H94" s="193"/>
      <c r="I94" s="193"/>
      <c r="J94" s="90"/>
      <c r="K94" s="90"/>
      <c r="L94" s="90"/>
      <c r="M94" s="90"/>
      <c r="N94" s="90"/>
    </row>
    <row r="95" spans="1:14" ht="15">
      <c r="A95" s="159"/>
      <c r="B95" s="110"/>
      <c r="C95" s="94"/>
      <c r="D95" s="192"/>
      <c r="E95" s="192"/>
      <c r="F95" s="28"/>
      <c r="G95" s="192"/>
      <c r="H95" s="192"/>
      <c r="I95" s="192"/>
      <c r="J95" s="90"/>
      <c r="K95" s="90"/>
      <c r="L95" s="90"/>
      <c r="M95" s="90"/>
      <c r="N95" s="90"/>
    </row>
    <row r="96" spans="1:14" ht="15">
      <c r="A96" s="159"/>
      <c r="B96" s="240" t="s">
        <v>235</v>
      </c>
      <c r="C96" s="115" t="s">
        <v>236</v>
      </c>
      <c r="D96" s="242" t="s">
        <v>237</v>
      </c>
      <c r="E96" s="243"/>
      <c r="F96" s="116" t="s">
        <v>238</v>
      </c>
      <c r="G96" s="232" t="s">
        <v>239</v>
      </c>
      <c r="H96" s="233"/>
      <c r="I96" s="114" t="s">
        <v>240</v>
      </c>
      <c r="J96" s="90"/>
      <c r="K96" s="90"/>
      <c r="L96" s="90"/>
      <c r="M96" s="90"/>
      <c r="N96" s="90"/>
    </row>
    <row r="97" spans="1:14" ht="15">
      <c r="A97" s="159"/>
      <c r="B97" s="241"/>
      <c r="C97" s="118" t="s">
        <v>241</v>
      </c>
      <c r="D97" s="97" t="s">
        <v>290</v>
      </c>
      <c r="E97" s="118" t="s">
        <v>242</v>
      </c>
      <c r="F97" s="98" t="s">
        <v>243</v>
      </c>
      <c r="G97" s="99" t="s">
        <v>290</v>
      </c>
      <c r="H97" s="97" t="s">
        <v>242</v>
      </c>
      <c r="I97" s="119"/>
      <c r="J97" s="90"/>
      <c r="K97" s="90"/>
      <c r="L97" s="90"/>
      <c r="M97" s="90"/>
      <c r="N97" s="90"/>
    </row>
    <row r="98" spans="1:14" ht="15">
      <c r="A98" s="159"/>
      <c r="B98" s="133" t="s">
        <v>256</v>
      </c>
      <c r="C98" s="138"/>
      <c r="D98" s="28"/>
      <c r="E98" s="120"/>
      <c r="F98" s="133"/>
      <c r="G98" s="120"/>
      <c r="H98" s="120"/>
      <c r="I98" s="127"/>
      <c r="J98" s="90"/>
      <c r="K98" s="90"/>
      <c r="L98" s="90"/>
      <c r="M98" s="90"/>
      <c r="N98" s="90"/>
    </row>
    <row r="99" spans="1:14" ht="15">
      <c r="A99" s="159"/>
      <c r="B99" s="133" t="s">
        <v>257</v>
      </c>
      <c r="C99" s="138" t="s">
        <v>258</v>
      </c>
      <c r="D99" s="135">
        <v>0</v>
      </c>
      <c r="E99" s="134">
        <v>4</v>
      </c>
      <c r="F99" s="133">
        <v>3.1</v>
      </c>
      <c r="G99" s="120">
        <f aca="true" t="shared" si="8" ref="G99:G104">F99*D99</f>
        <v>0</v>
      </c>
      <c r="H99" s="120">
        <f aca="true" t="shared" si="9" ref="H99:H104">E99*F99</f>
        <v>12.4</v>
      </c>
      <c r="I99" s="127">
        <f aca="true" t="shared" si="10" ref="I99:I104">G99+H99</f>
        <v>12.4</v>
      </c>
      <c r="J99" s="90"/>
      <c r="K99" s="90"/>
      <c r="L99" s="90"/>
      <c r="M99" s="90"/>
      <c r="N99" s="90"/>
    </row>
    <row r="100" spans="1:14" ht="15">
      <c r="A100" s="159"/>
      <c r="B100" s="133" t="s">
        <v>259</v>
      </c>
      <c r="C100" s="138" t="s">
        <v>258</v>
      </c>
      <c r="D100" s="139">
        <v>0</v>
      </c>
      <c r="E100" s="140">
        <v>12</v>
      </c>
      <c r="F100" s="133">
        <v>2.3</v>
      </c>
      <c r="G100" s="120">
        <f t="shared" si="8"/>
        <v>0</v>
      </c>
      <c r="H100" s="120">
        <f t="shared" si="9"/>
        <v>27.599999999999998</v>
      </c>
      <c r="I100" s="127">
        <f t="shared" si="10"/>
        <v>27.599999999999998</v>
      </c>
      <c r="J100" s="90"/>
      <c r="K100" s="90"/>
      <c r="L100" s="90"/>
      <c r="M100" s="90"/>
      <c r="N100" s="90"/>
    </row>
    <row r="101" spans="1:14" ht="15">
      <c r="A101" s="159"/>
      <c r="B101" s="133" t="s">
        <v>260</v>
      </c>
      <c r="C101" s="138" t="s">
        <v>258</v>
      </c>
      <c r="D101" s="28">
        <v>0</v>
      </c>
      <c r="E101" s="120">
        <v>0</v>
      </c>
      <c r="F101" s="141">
        <v>26</v>
      </c>
      <c r="G101" s="120">
        <f t="shared" si="8"/>
        <v>0</v>
      </c>
      <c r="H101" s="120">
        <f t="shared" si="9"/>
        <v>0</v>
      </c>
      <c r="I101" s="127">
        <f t="shared" si="10"/>
        <v>0</v>
      </c>
      <c r="J101" s="90"/>
      <c r="K101" s="90"/>
      <c r="L101" s="90"/>
      <c r="M101" s="90"/>
      <c r="N101" s="90"/>
    </row>
    <row r="102" spans="1:14" ht="15">
      <c r="A102" s="159"/>
      <c r="B102" s="133" t="s">
        <v>261</v>
      </c>
      <c r="C102" s="138" t="s">
        <v>258</v>
      </c>
      <c r="D102" s="135">
        <f>X70</f>
        <v>0</v>
      </c>
      <c r="E102" s="134">
        <f>X83</f>
        <v>0</v>
      </c>
      <c r="F102" s="133">
        <v>2.5</v>
      </c>
      <c r="G102" s="120">
        <f t="shared" si="8"/>
        <v>0</v>
      </c>
      <c r="H102" s="120">
        <f t="shared" si="9"/>
        <v>0</v>
      </c>
      <c r="I102" s="127">
        <f t="shared" si="10"/>
        <v>0</v>
      </c>
      <c r="J102" s="90"/>
      <c r="K102" s="90"/>
      <c r="L102" s="90"/>
      <c r="M102" s="90"/>
      <c r="N102" s="90"/>
    </row>
    <row r="103" spans="1:14" ht="15">
      <c r="A103" s="159"/>
      <c r="B103" s="133" t="s">
        <v>262</v>
      </c>
      <c r="C103" s="138" t="s">
        <v>258</v>
      </c>
      <c r="D103" s="135">
        <f>Y70</f>
        <v>0</v>
      </c>
      <c r="E103" s="134">
        <f>Y83</f>
        <v>0</v>
      </c>
      <c r="F103" s="133">
        <v>2.3</v>
      </c>
      <c r="G103" s="120">
        <f t="shared" si="8"/>
        <v>0</v>
      </c>
      <c r="H103" s="120">
        <f t="shared" si="9"/>
        <v>0</v>
      </c>
      <c r="I103" s="127">
        <f t="shared" si="10"/>
        <v>0</v>
      </c>
      <c r="J103" s="90"/>
      <c r="K103" s="90"/>
      <c r="L103" s="90"/>
      <c r="M103" s="90"/>
      <c r="N103" s="90"/>
    </row>
    <row r="104" spans="1:14" ht="15">
      <c r="A104" s="159"/>
      <c r="B104" s="133" t="s">
        <v>263</v>
      </c>
      <c r="C104" s="99" t="s">
        <v>258</v>
      </c>
      <c r="D104" s="135">
        <v>0</v>
      </c>
      <c r="E104" s="134">
        <v>1</v>
      </c>
      <c r="F104" s="142">
        <v>3</v>
      </c>
      <c r="G104" s="120">
        <f t="shared" si="8"/>
        <v>0</v>
      </c>
      <c r="H104" s="120">
        <f t="shared" si="9"/>
        <v>3</v>
      </c>
      <c r="I104" s="127">
        <f t="shared" si="10"/>
        <v>3</v>
      </c>
      <c r="J104" s="90"/>
      <c r="K104" s="90"/>
      <c r="L104" s="90"/>
      <c r="M104" s="90"/>
      <c r="N104" s="90"/>
    </row>
    <row r="105" spans="1:14" ht="15">
      <c r="A105" s="159"/>
      <c r="B105" s="108" t="s">
        <v>264</v>
      </c>
      <c r="C105" s="143"/>
      <c r="D105" s="144"/>
      <c r="E105" s="129"/>
      <c r="F105" s="144"/>
      <c r="G105" s="129">
        <f>SUM(G99:G104)</f>
        <v>0</v>
      </c>
      <c r="H105" s="129">
        <f>SUM(H99:H104)</f>
        <v>43</v>
      </c>
      <c r="I105" s="131">
        <f>SUM(I99:I104)</f>
        <v>43</v>
      </c>
      <c r="J105" s="90"/>
      <c r="K105" s="90"/>
      <c r="L105" s="90"/>
      <c r="M105" s="90"/>
      <c r="N105" s="90"/>
    </row>
    <row r="106" spans="1:14" ht="15">
      <c r="A106" s="159"/>
      <c r="B106" s="90"/>
      <c r="C106" s="90"/>
      <c r="D106" s="90"/>
      <c r="E106" s="90"/>
      <c r="F106" s="90"/>
      <c r="G106" s="90"/>
      <c r="H106" s="90"/>
      <c r="I106" s="90"/>
      <c r="J106" s="90"/>
      <c r="K106" s="90"/>
      <c r="L106" s="90"/>
      <c r="M106" s="90"/>
      <c r="N106" s="90"/>
    </row>
    <row r="107" spans="1:14" ht="15">
      <c r="A107" s="159"/>
      <c r="B107" s="90"/>
      <c r="C107" s="90"/>
      <c r="D107" s="90"/>
      <c r="E107" s="90"/>
      <c r="F107" s="90"/>
      <c r="G107" s="90"/>
      <c r="H107" s="90"/>
      <c r="I107" s="90"/>
      <c r="J107" s="90"/>
      <c r="K107" s="90"/>
      <c r="L107" s="90"/>
      <c r="M107" s="90"/>
      <c r="N107" s="90"/>
    </row>
    <row r="108" spans="1:14" ht="15">
      <c r="A108" s="159"/>
      <c r="B108" s="90"/>
      <c r="C108" s="90"/>
      <c r="D108" s="90"/>
      <c r="E108" s="90"/>
      <c r="F108" s="90"/>
      <c r="G108" s="90"/>
      <c r="H108" s="90"/>
      <c r="I108" s="90"/>
      <c r="J108" s="90"/>
      <c r="K108" s="90"/>
      <c r="L108" s="90"/>
      <c r="M108" s="90"/>
      <c r="N108" s="90"/>
    </row>
    <row r="109" spans="1:14" ht="15">
      <c r="A109" s="159"/>
      <c r="B109" s="90"/>
      <c r="C109" s="90"/>
      <c r="D109" s="90"/>
      <c r="E109" s="90"/>
      <c r="F109" s="90"/>
      <c r="G109" s="90"/>
      <c r="H109" s="90"/>
      <c r="I109" s="90"/>
      <c r="J109" s="90"/>
      <c r="K109" s="90"/>
      <c r="L109" s="90"/>
      <c r="M109" s="90"/>
      <c r="N109" s="90"/>
    </row>
    <row r="110" spans="1:14" ht="15">
      <c r="A110" s="159"/>
      <c r="B110" s="90"/>
      <c r="C110" s="90"/>
      <c r="D110" s="90"/>
      <c r="E110" s="90"/>
      <c r="F110" s="90"/>
      <c r="G110" s="90"/>
      <c r="H110" s="90"/>
      <c r="I110" s="90"/>
      <c r="J110" s="90"/>
      <c r="K110" s="90"/>
      <c r="L110" s="90"/>
      <c r="M110" s="90"/>
      <c r="N110" s="90"/>
    </row>
    <row r="111" spans="1:14" ht="15">
      <c r="A111" s="159"/>
      <c r="B111" s="90"/>
      <c r="C111" s="90"/>
      <c r="D111" s="90"/>
      <c r="E111" s="90"/>
      <c r="F111" s="90"/>
      <c r="G111" s="90"/>
      <c r="H111" s="90"/>
      <c r="I111" s="90"/>
      <c r="J111" s="90"/>
      <c r="K111" s="90"/>
      <c r="L111" s="90"/>
      <c r="M111" s="90"/>
      <c r="N111" s="90"/>
    </row>
    <row r="112" spans="1:14" ht="18.75">
      <c r="A112" s="154" t="s">
        <v>113</v>
      </c>
      <c r="B112" s="93" t="s">
        <v>266</v>
      </c>
      <c r="C112" s="157"/>
      <c r="D112" s="157"/>
      <c r="E112" s="157"/>
      <c r="F112" s="157"/>
      <c r="G112" s="158"/>
      <c r="H112" s="158"/>
      <c r="I112" s="90"/>
      <c r="J112" s="90"/>
      <c r="K112" s="90"/>
      <c r="L112" s="90"/>
      <c r="M112" s="90"/>
      <c r="N112" s="90"/>
    </row>
    <row r="113" spans="1:14" ht="18.75">
      <c r="A113" s="154"/>
      <c r="B113" s="93" t="s">
        <v>286</v>
      </c>
      <c r="C113" s="157"/>
      <c r="D113" s="157"/>
      <c r="E113" s="157"/>
      <c r="F113" s="157"/>
      <c r="G113" s="158"/>
      <c r="H113" s="158"/>
      <c r="I113" s="90"/>
      <c r="J113" s="90"/>
      <c r="K113" s="90"/>
      <c r="L113" s="90"/>
      <c r="M113" s="90"/>
      <c r="N113" s="90"/>
    </row>
    <row r="114" spans="1:14" ht="15">
      <c r="A114" s="154"/>
      <c r="B114" s="240" t="s">
        <v>235</v>
      </c>
      <c r="C114" s="115" t="s">
        <v>236</v>
      </c>
      <c r="D114" s="242" t="s">
        <v>237</v>
      </c>
      <c r="E114" s="243"/>
      <c r="F114" s="116" t="s">
        <v>238</v>
      </c>
      <c r="G114" s="232" t="s">
        <v>239</v>
      </c>
      <c r="H114" s="233"/>
      <c r="I114" s="114" t="s">
        <v>240</v>
      </c>
      <c r="J114" s="250" t="s">
        <v>124</v>
      </c>
      <c r="K114" s="90"/>
      <c r="L114" s="90"/>
      <c r="M114" s="90"/>
      <c r="N114" s="90"/>
    </row>
    <row r="115" spans="1:14" ht="15">
      <c r="A115" s="154"/>
      <c r="B115" s="241"/>
      <c r="C115" s="118" t="s">
        <v>241</v>
      </c>
      <c r="D115" s="97" t="s">
        <v>242</v>
      </c>
      <c r="E115" s="118" t="s">
        <v>142</v>
      </c>
      <c r="F115" s="98" t="s">
        <v>243</v>
      </c>
      <c r="G115" s="97" t="s">
        <v>242</v>
      </c>
      <c r="H115" s="118" t="s">
        <v>142</v>
      </c>
      <c r="I115" s="119"/>
      <c r="J115" s="251"/>
      <c r="K115" s="90"/>
      <c r="L115" s="90"/>
      <c r="M115" s="90"/>
      <c r="N115" s="90"/>
    </row>
    <row r="116" spans="1:14" ht="15">
      <c r="A116" s="154"/>
      <c r="B116" s="100" t="s">
        <v>106</v>
      </c>
      <c r="C116" s="97"/>
      <c r="D116" s="100"/>
      <c r="E116" s="100"/>
      <c r="F116" s="25"/>
      <c r="G116" s="100"/>
      <c r="H116" s="100"/>
      <c r="I116" s="100"/>
      <c r="J116" s="102"/>
      <c r="K116" s="90"/>
      <c r="L116" s="90"/>
      <c r="M116" s="90"/>
      <c r="N116" s="90"/>
    </row>
    <row r="117" spans="1:14" ht="15">
      <c r="A117" s="154"/>
      <c r="B117" s="176" t="s">
        <v>244</v>
      </c>
      <c r="C117" s="183" t="s">
        <v>245</v>
      </c>
      <c r="D117" s="173"/>
      <c r="E117" s="173"/>
      <c r="F117" s="165"/>
      <c r="G117" s="165"/>
      <c r="H117" s="165"/>
      <c r="I117" s="100"/>
      <c r="J117" s="102"/>
      <c r="K117" s="90"/>
      <c r="L117" s="90"/>
      <c r="M117" s="90"/>
      <c r="N117" s="90"/>
    </row>
    <row r="118" spans="1:14" ht="15">
      <c r="A118" s="154"/>
      <c r="B118" s="176" t="s">
        <v>246</v>
      </c>
      <c r="C118" s="183" t="s">
        <v>245</v>
      </c>
      <c r="D118" s="173"/>
      <c r="E118" s="173"/>
      <c r="F118" s="165">
        <v>140</v>
      </c>
      <c r="G118" s="165">
        <f>D118*$F$39/100</f>
        <v>0</v>
      </c>
      <c r="H118" s="165">
        <f>E118*F118/100</f>
        <v>0</v>
      </c>
      <c r="I118" s="165">
        <f>G118+H118</f>
        <v>0</v>
      </c>
      <c r="J118" s="102"/>
      <c r="K118" s="90"/>
      <c r="L118" s="90"/>
      <c r="M118" s="90"/>
      <c r="N118" s="90"/>
    </row>
    <row r="119" spans="1:14" ht="15">
      <c r="A119" s="154"/>
      <c r="B119" s="176" t="s">
        <v>275</v>
      </c>
      <c r="C119" s="183" t="s">
        <v>245</v>
      </c>
      <c r="D119" s="174">
        <v>1.8802</v>
      </c>
      <c r="E119" s="173"/>
      <c r="F119" s="165">
        <v>110</v>
      </c>
      <c r="G119" s="165">
        <f>D119*F119/100</f>
        <v>2.06822</v>
      </c>
      <c r="H119" s="165">
        <f>E119*F119/100</f>
        <v>0</v>
      </c>
      <c r="I119" s="166">
        <f>G119+H119</f>
        <v>2.06822</v>
      </c>
      <c r="J119" s="164" t="s">
        <v>285</v>
      </c>
      <c r="K119" s="90"/>
      <c r="L119" s="90"/>
      <c r="M119" s="90"/>
      <c r="N119" s="90"/>
    </row>
    <row r="120" spans="1:14" ht="15">
      <c r="A120" s="154"/>
      <c r="B120" s="176" t="s">
        <v>275</v>
      </c>
      <c r="C120" s="183" t="s">
        <v>245</v>
      </c>
      <c r="D120" s="174">
        <v>4.238</v>
      </c>
      <c r="E120" s="173"/>
      <c r="F120" s="165">
        <v>110</v>
      </c>
      <c r="G120" s="165">
        <f>D120*F120/100</f>
        <v>4.6618</v>
      </c>
      <c r="H120" s="165">
        <f>E120*F120/100</f>
        <v>0</v>
      </c>
      <c r="I120" s="166">
        <f>G120+H120</f>
        <v>4.6618</v>
      </c>
      <c r="J120" s="164" t="s">
        <v>287</v>
      </c>
      <c r="K120" s="90"/>
      <c r="L120" s="90"/>
      <c r="M120" s="90"/>
      <c r="N120" s="90"/>
    </row>
    <row r="121" spans="1:14" ht="15">
      <c r="A121" s="154"/>
      <c r="B121" s="176" t="s">
        <v>248</v>
      </c>
      <c r="C121" s="183" t="s">
        <v>245</v>
      </c>
      <c r="D121" s="173"/>
      <c r="E121" s="173"/>
      <c r="F121" s="165"/>
      <c r="G121" s="165"/>
      <c r="H121" s="165"/>
      <c r="I121" s="165"/>
      <c r="J121" s="102"/>
      <c r="K121" s="90"/>
      <c r="L121" s="90"/>
      <c r="M121" s="90"/>
      <c r="N121" s="90"/>
    </row>
    <row r="122" spans="1:14" ht="15">
      <c r="A122" s="154"/>
      <c r="B122" s="176" t="s">
        <v>249</v>
      </c>
      <c r="C122" s="183" t="s">
        <v>245</v>
      </c>
      <c r="D122" s="173"/>
      <c r="E122" s="173"/>
      <c r="F122" s="165">
        <v>260</v>
      </c>
      <c r="G122" s="165">
        <f>D122*F122/100</f>
        <v>0</v>
      </c>
      <c r="H122" s="165">
        <f>E122*F122/100</f>
        <v>0</v>
      </c>
      <c r="I122" s="165">
        <f>G122+H122</f>
        <v>0</v>
      </c>
      <c r="J122" s="102"/>
      <c r="K122" s="90"/>
      <c r="L122" s="90"/>
      <c r="M122" s="90"/>
      <c r="N122" s="90"/>
    </row>
    <row r="123" spans="1:14" ht="15">
      <c r="A123" s="154"/>
      <c r="B123" s="176" t="s">
        <v>250</v>
      </c>
      <c r="C123" s="183" t="s">
        <v>245</v>
      </c>
      <c r="D123" s="173"/>
      <c r="E123" s="173"/>
      <c r="F123" s="165">
        <v>220</v>
      </c>
      <c r="G123" s="165">
        <f>D123*F123/100</f>
        <v>0</v>
      </c>
      <c r="H123" s="165">
        <f>E123*F123/100</f>
        <v>0</v>
      </c>
      <c r="I123" s="165">
        <f>G123+H123</f>
        <v>0</v>
      </c>
      <c r="J123" s="102"/>
      <c r="K123" s="90"/>
      <c r="L123" s="90"/>
      <c r="M123" s="90"/>
      <c r="N123" s="90"/>
    </row>
    <row r="124" spans="1:14" ht="15">
      <c r="A124" s="154"/>
      <c r="B124" s="176" t="s">
        <v>251</v>
      </c>
      <c r="C124" s="183" t="s">
        <v>245</v>
      </c>
      <c r="D124" s="173"/>
      <c r="E124" s="174">
        <v>4.7315</v>
      </c>
      <c r="F124" s="165">
        <v>150</v>
      </c>
      <c r="G124" s="165">
        <f>D124*$F$44/100</f>
        <v>0</v>
      </c>
      <c r="H124" s="165">
        <f>E124*F124/100</f>
        <v>7.097249999999999</v>
      </c>
      <c r="I124" s="166">
        <f>G124+H124</f>
        <v>7.097249999999999</v>
      </c>
      <c r="J124" s="164" t="s">
        <v>285</v>
      </c>
      <c r="K124" s="90"/>
      <c r="L124" s="90"/>
      <c r="M124" s="90"/>
      <c r="N124" s="90"/>
    </row>
    <row r="125" spans="1:14" ht="15">
      <c r="A125" s="154"/>
      <c r="B125" s="176" t="s">
        <v>276</v>
      </c>
      <c r="C125" s="183" t="s">
        <v>245</v>
      </c>
      <c r="D125" s="174"/>
      <c r="E125" s="174">
        <v>2.3773</v>
      </c>
      <c r="F125" s="165">
        <v>150</v>
      </c>
      <c r="G125" s="165">
        <f>D125*$F$44/100</f>
        <v>0</v>
      </c>
      <c r="H125" s="165">
        <f>E125*F125/100</f>
        <v>3.5659499999999995</v>
      </c>
      <c r="I125" s="166">
        <f>G125+H125</f>
        <v>3.5659499999999995</v>
      </c>
      <c r="J125" s="164" t="s">
        <v>287</v>
      </c>
      <c r="K125" s="90"/>
      <c r="L125" s="90"/>
      <c r="M125" s="90"/>
      <c r="N125" s="90"/>
    </row>
    <row r="126" spans="1:14" ht="15">
      <c r="A126" s="154"/>
      <c r="B126" s="187" t="s">
        <v>252</v>
      </c>
      <c r="C126" s="183" t="s">
        <v>245</v>
      </c>
      <c r="D126" s="175">
        <f>SUM(D118:D125)</f>
        <v>6.118200000000001</v>
      </c>
      <c r="E126" s="175">
        <f>SUM(E118:E125)</f>
        <v>7.1088</v>
      </c>
      <c r="F126" s="175"/>
      <c r="G126" s="175">
        <f>SUM(G118:G125)</f>
        <v>6.730020000000001</v>
      </c>
      <c r="H126" s="175">
        <f>SUM(H118:H125)</f>
        <v>10.663199999999998</v>
      </c>
      <c r="I126" s="175">
        <f>SUM(I118:I125)</f>
        <v>17.39322</v>
      </c>
      <c r="J126" s="102"/>
      <c r="K126" s="90"/>
      <c r="L126" s="90"/>
      <c r="M126" s="90"/>
      <c r="N126" s="90"/>
    </row>
    <row r="127" spans="1:14" ht="15">
      <c r="A127" s="154"/>
      <c r="B127" s="176" t="s">
        <v>129</v>
      </c>
      <c r="C127" s="188"/>
      <c r="D127" s="176"/>
      <c r="E127" s="176"/>
      <c r="F127" s="100"/>
      <c r="G127" s="100"/>
      <c r="H127" s="100"/>
      <c r="I127" s="165"/>
      <c r="J127" s="102"/>
      <c r="K127" s="90"/>
      <c r="L127" s="90"/>
      <c r="M127" s="90"/>
      <c r="N127" s="90"/>
    </row>
    <row r="128" spans="1:14" ht="15">
      <c r="A128" s="154"/>
      <c r="B128" s="176" t="s">
        <v>253</v>
      </c>
      <c r="C128" s="183" t="s">
        <v>245</v>
      </c>
      <c r="D128" s="178">
        <v>3.7089</v>
      </c>
      <c r="E128" s="180"/>
      <c r="F128" s="100">
        <v>350</v>
      </c>
      <c r="G128" s="100">
        <f>F128*D128/100</f>
        <v>12.98115</v>
      </c>
      <c r="H128" s="165">
        <f>E128*F128/100</f>
        <v>0</v>
      </c>
      <c r="I128" s="166">
        <f>G128+H128</f>
        <v>12.98115</v>
      </c>
      <c r="J128" s="164" t="s">
        <v>285</v>
      </c>
      <c r="K128" s="90"/>
      <c r="L128" s="90"/>
      <c r="M128" s="90"/>
      <c r="N128" s="90"/>
    </row>
    <row r="129" spans="1:14" ht="15">
      <c r="A129" s="154"/>
      <c r="B129" s="176" t="s">
        <v>277</v>
      </c>
      <c r="C129" s="183" t="s">
        <v>245</v>
      </c>
      <c r="D129" s="178">
        <v>1.176</v>
      </c>
      <c r="E129" s="180"/>
      <c r="F129" s="100">
        <v>350</v>
      </c>
      <c r="G129" s="100">
        <f>F129*D129/100</f>
        <v>4.116</v>
      </c>
      <c r="H129" s="165">
        <f>E129*F129/100</f>
        <v>0</v>
      </c>
      <c r="I129" s="165">
        <f>G129+H129</f>
        <v>4.116</v>
      </c>
      <c r="J129" s="164" t="s">
        <v>287</v>
      </c>
      <c r="K129" s="90"/>
      <c r="L129" s="90"/>
      <c r="M129" s="90"/>
      <c r="N129" s="90"/>
    </row>
    <row r="130" spans="1:14" ht="15">
      <c r="A130" s="154"/>
      <c r="B130" s="176" t="s">
        <v>278</v>
      </c>
      <c r="C130" s="183" t="s">
        <v>245</v>
      </c>
      <c r="D130" s="178"/>
      <c r="E130" s="178">
        <v>25.9711</v>
      </c>
      <c r="F130" s="100">
        <v>270</v>
      </c>
      <c r="G130" s="165">
        <f>D130*$F$48/100</f>
        <v>0</v>
      </c>
      <c r="H130" s="165">
        <f>E130*F130/100</f>
        <v>70.12197</v>
      </c>
      <c r="I130" s="165">
        <f>G130+H130</f>
        <v>70.12197</v>
      </c>
      <c r="J130" s="164" t="s">
        <v>285</v>
      </c>
      <c r="K130" s="90"/>
      <c r="L130" s="90"/>
      <c r="M130" s="90"/>
      <c r="N130" s="90"/>
    </row>
    <row r="131" spans="1:14" ht="15">
      <c r="A131" s="154"/>
      <c r="B131" s="176" t="s">
        <v>279</v>
      </c>
      <c r="C131" s="183"/>
      <c r="D131" s="178"/>
      <c r="E131" s="180">
        <v>21.47988</v>
      </c>
      <c r="F131" s="100">
        <v>270</v>
      </c>
      <c r="G131" s="165">
        <f>D131*$F$48/100</f>
        <v>0</v>
      </c>
      <c r="H131" s="165">
        <f>E131*F131/100</f>
        <v>57.995676</v>
      </c>
      <c r="I131" s="165">
        <f>G131+H131</f>
        <v>57.995676</v>
      </c>
      <c r="J131" s="164" t="s">
        <v>287</v>
      </c>
      <c r="K131" s="90"/>
      <c r="L131" s="90"/>
      <c r="M131" s="90"/>
      <c r="N131" s="90"/>
    </row>
    <row r="132" spans="1:14" ht="15">
      <c r="A132" s="154"/>
      <c r="B132" s="108" t="s">
        <v>255</v>
      </c>
      <c r="C132" s="97" t="s">
        <v>245</v>
      </c>
      <c r="D132" s="179">
        <f>SUM(D128:D131)</f>
        <v>4.8849</v>
      </c>
      <c r="E132" s="179">
        <f>SUM(E128:E131)</f>
        <v>47.45098</v>
      </c>
      <c r="F132" s="108"/>
      <c r="G132" s="131">
        <f>SUM(G128:G131)</f>
        <v>17.09715</v>
      </c>
      <c r="H132" s="131">
        <f>SUM(H128:H131)</f>
        <v>128.117646</v>
      </c>
      <c r="I132" s="131">
        <f>SUM(I128:I131)</f>
        <v>145.214796</v>
      </c>
      <c r="J132" s="102"/>
      <c r="K132" s="90"/>
      <c r="L132" s="90"/>
      <c r="M132" s="90"/>
      <c r="N132" s="90"/>
    </row>
    <row r="133" spans="1:14" ht="15">
      <c r="A133" s="154"/>
      <c r="B133" s="108" t="s">
        <v>256</v>
      </c>
      <c r="C133" s="97"/>
      <c r="D133" s="176"/>
      <c r="E133" s="100"/>
      <c r="F133" s="100"/>
      <c r="G133" s="100"/>
      <c r="H133" s="100"/>
      <c r="I133" s="165"/>
      <c r="J133" s="102"/>
      <c r="K133" s="90"/>
      <c r="L133" s="90"/>
      <c r="M133" s="90"/>
      <c r="N133" s="90"/>
    </row>
    <row r="134" spans="1:14" ht="15">
      <c r="A134" s="154"/>
      <c r="B134" s="100" t="s">
        <v>257</v>
      </c>
      <c r="C134" s="97" t="s">
        <v>258</v>
      </c>
      <c r="D134" s="186">
        <v>1</v>
      </c>
      <c r="E134" s="107"/>
      <c r="F134" s="100">
        <v>3.1</v>
      </c>
      <c r="G134" s="100">
        <f>F134*D134</f>
        <v>3.1</v>
      </c>
      <c r="H134" s="100">
        <f aca="true" t="shared" si="11" ref="H134:H141">E134*F134</f>
        <v>0</v>
      </c>
      <c r="I134" s="165">
        <f aca="true" t="shared" si="12" ref="I134:I141">G134+H134</f>
        <v>3.1</v>
      </c>
      <c r="J134" s="164" t="s">
        <v>287</v>
      </c>
      <c r="K134" s="90"/>
      <c r="L134" s="90"/>
      <c r="M134" s="90"/>
      <c r="N134" s="90"/>
    </row>
    <row r="135" spans="1:14" ht="45">
      <c r="A135" s="154"/>
      <c r="B135" s="100" t="s">
        <v>259</v>
      </c>
      <c r="C135" s="97" t="s">
        <v>258</v>
      </c>
      <c r="D135" s="182">
        <f>6+7</f>
        <v>13</v>
      </c>
      <c r="E135" s="167"/>
      <c r="F135" s="100">
        <v>2.3</v>
      </c>
      <c r="G135" s="100">
        <f>F135*D135/100</f>
        <v>0.299</v>
      </c>
      <c r="H135" s="100">
        <f t="shared" si="11"/>
        <v>0</v>
      </c>
      <c r="I135" s="165">
        <f t="shared" si="12"/>
        <v>0.299</v>
      </c>
      <c r="J135" s="164" t="s">
        <v>288</v>
      </c>
      <c r="K135" s="90"/>
      <c r="L135" s="90"/>
      <c r="M135" s="90"/>
      <c r="N135" s="90"/>
    </row>
    <row r="136" spans="1:14" ht="15">
      <c r="A136" s="154"/>
      <c r="B136" s="100" t="s">
        <v>260</v>
      </c>
      <c r="C136" s="97" t="s">
        <v>258</v>
      </c>
      <c r="D136" s="183"/>
      <c r="E136" s="100"/>
      <c r="F136" s="107">
        <v>26</v>
      </c>
      <c r="G136" s="100">
        <f>F136*D136</f>
        <v>0</v>
      </c>
      <c r="H136" s="100">
        <f t="shared" si="11"/>
        <v>0</v>
      </c>
      <c r="I136" s="165">
        <f t="shared" si="12"/>
        <v>0</v>
      </c>
      <c r="J136" s="102"/>
      <c r="K136" s="90"/>
      <c r="L136" s="90"/>
      <c r="M136" s="90"/>
      <c r="N136" s="90"/>
    </row>
    <row r="137" spans="1:14" ht="15">
      <c r="A137" s="154"/>
      <c r="B137" s="100" t="s">
        <v>280</v>
      </c>
      <c r="C137" s="97" t="s">
        <v>258</v>
      </c>
      <c r="D137" s="97">
        <v>1</v>
      </c>
      <c r="E137" s="100"/>
      <c r="F137" s="107">
        <v>1</v>
      </c>
      <c r="G137" s="100">
        <f>F137*D137/100</f>
        <v>0.01</v>
      </c>
      <c r="H137" s="100">
        <f t="shared" si="11"/>
        <v>0</v>
      </c>
      <c r="I137" s="166">
        <f t="shared" si="12"/>
        <v>0.01</v>
      </c>
      <c r="J137" s="164" t="s">
        <v>287</v>
      </c>
      <c r="K137" s="90"/>
      <c r="L137" s="90"/>
      <c r="M137" s="90"/>
      <c r="N137" s="90"/>
    </row>
    <row r="138" spans="1:14" ht="15">
      <c r="A138" s="154"/>
      <c r="B138" s="100" t="s">
        <v>281</v>
      </c>
      <c r="C138" s="97" t="s">
        <v>258</v>
      </c>
      <c r="D138" s="185">
        <v>1</v>
      </c>
      <c r="E138" s="107"/>
      <c r="F138" s="100">
        <v>2.5</v>
      </c>
      <c r="G138" s="100">
        <f>F138*D138</f>
        <v>2.5</v>
      </c>
      <c r="H138" s="100">
        <f t="shared" si="11"/>
        <v>0</v>
      </c>
      <c r="I138" s="165">
        <f t="shared" si="12"/>
        <v>2.5</v>
      </c>
      <c r="J138" s="164" t="s">
        <v>287</v>
      </c>
      <c r="K138" s="90"/>
      <c r="L138" s="90"/>
      <c r="M138" s="90"/>
      <c r="N138" s="90"/>
    </row>
    <row r="139" spans="1:14" ht="15">
      <c r="A139" s="154"/>
      <c r="B139" s="100" t="s">
        <v>282</v>
      </c>
      <c r="C139" s="97" t="s">
        <v>258</v>
      </c>
      <c r="D139" s="184"/>
      <c r="E139" s="107"/>
      <c r="F139" s="100">
        <v>2.3</v>
      </c>
      <c r="G139" s="100">
        <f>F139*D139</f>
        <v>0</v>
      </c>
      <c r="H139" s="100">
        <f t="shared" si="11"/>
        <v>0</v>
      </c>
      <c r="I139" s="165">
        <f t="shared" si="12"/>
        <v>0</v>
      </c>
      <c r="J139" s="170"/>
      <c r="K139" s="90"/>
      <c r="L139" s="90"/>
      <c r="M139" s="90"/>
      <c r="N139" s="90"/>
    </row>
    <row r="140" spans="1:14" ht="15">
      <c r="A140" s="154"/>
      <c r="B140" s="100" t="s">
        <v>283</v>
      </c>
      <c r="C140" s="97" t="s">
        <v>258</v>
      </c>
      <c r="D140" s="184"/>
      <c r="E140" s="107"/>
      <c r="F140" s="100">
        <v>2.3</v>
      </c>
      <c r="G140" s="100">
        <f>F140*D140</f>
        <v>0</v>
      </c>
      <c r="H140" s="100">
        <f t="shared" si="11"/>
        <v>0</v>
      </c>
      <c r="I140" s="165">
        <f t="shared" si="12"/>
        <v>0</v>
      </c>
      <c r="J140" s="164"/>
      <c r="K140" s="90"/>
      <c r="L140" s="90"/>
      <c r="M140" s="90"/>
      <c r="N140" s="90"/>
    </row>
    <row r="141" spans="1:14" ht="45">
      <c r="A141" s="154"/>
      <c r="B141" s="100" t="s">
        <v>284</v>
      </c>
      <c r="C141" s="97" t="s">
        <v>258</v>
      </c>
      <c r="D141" s="184">
        <f>6+8</f>
        <v>14</v>
      </c>
      <c r="E141" s="107"/>
      <c r="F141" s="107">
        <v>3</v>
      </c>
      <c r="G141" s="100">
        <f>F141*D141</f>
        <v>42</v>
      </c>
      <c r="H141" s="100">
        <f t="shared" si="11"/>
        <v>0</v>
      </c>
      <c r="I141" s="165">
        <f t="shared" si="12"/>
        <v>42</v>
      </c>
      <c r="J141" s="164" t="s">
        <v>288</v>
      </c>
      <c r="K141" s="90"/>
      <c r="L141" s="90"/>
      <c r="M141" s="90"/>
      <c r="N141" s="90"/>
    </row>
    <row r="142" spans="1:14" ht="15">
      <c r="A142" s="154"/>
      <c r="B142" s="108" t="s">
        <v>264</v>
      </c>
      <c r="C142" s="168"/>
      <c r="D142" s="129"/>
      <c r="E142" s="129"/>
      <c r="F142" s="129"/>
      <c r="G142" s="131">
        <f>SUM(G134:G141)</f>
        <v>47.909</v>
      </c>
      <c r="H142" s="131">
        <f>SUM(H134:H141)</f>
        <v>0</v>
      </c>
      <c r="I142" s="129">
        <f>SUM(I134:I141)</f>
        <v>47.909</v>
      </c>
      <c r="J142" s="102"/>
      <c r="K142" s="90"/>
      <c r="L142" s="90"/>
      <c r="M142" s="90"/>
      <c r="N142" s="90"/>
    </row>
    <row r="143" spans="1:14" ht="15">
      <c r="A143" s="154"/>
      <c r="B143" s="146" t="s">
        <v>265</v>
      </c>
      <c r="C143" s="146"/>
      <c r="D143" s="146"/>
      <c r="E143" s="146"/>
      <c r="F143" s="146"/>
      <c r="G143" s="169" t="e">
        <f>G142+G132+G126+#REF!+#REF!</f>
        <v>#REF!</v>
      </c>
      <c r="H143" s="149" t="e">
        <f>H142+H132+H126+#REF!+#REF!</f>
        <v>#REF!</v>
      </c>
      <c r="I143" s="171">
        <f>I142+I132+I126</f>
        <v>210.517016</v>
      </c>
      <c r="J143" s="102"/>
      <c r="K143" s="90"/>
      <c r="L143" s="90"/>
      <c r="M143" s="90"/>
      <c r="N143" s="90"/>
    </row>
    <row r="144" spans="1:14" ht="15">
      <c r="A144" s="159"/>
      <c r="B144" s="90"/>
      <c r="C144" s="90"/>
      <c r="D144" s="90"/>
      <c r="E144" s="90"/>
      <c r="F144" s="90"/>
      <c r="G144" s="90"/>
      <c r="H144" s="90"/>
      <c r="I144" s="90"/>
      <c r="J144" s="90"/>
      <c r="K144" s="90"/>
      <c r="L144" s="90"/>
      <c r="M144" s="90"/>
      <c r="N144" s="90"/>
    </row>
    <row r="145" spans="1:14" ht="15">
      <c r="A145" s="156" t="s">
        <v>113</v>
      </c>
      <c r="B145" s="231" t="s">
        <v>267</v>
      </c>
      <c r="C145" s="231"/>
      <c r="D145" s="231"/>
      <c r="E145" s="231"/>
      <c r="F145" s="231"/>
      <c r="G145" s="231"/>
      <c r="H145" s="160">
        <f>I145</f>
        <v>11541.998899999999</v>
      </c>
      <c r="I145" s="191">
        <f>I58+I87+I105</f>
        <v>11541.998899999999</v>
      </c>
      <c r="J145" s="200">
        <f>I145+I143</f>
        <v>11752.515915999998</v>
      </c>
      <c r="K145" s="24"/>
      <c r="L145" s="24"/>
      <c r="M145" s="24"/>
      <c r="N145" s="24"/>
    </row>
    <row r="146" spans="1:14" ht="15">
      <c r="A146" s="161"/>
      <c r="B146" s="161"/>
      <c r="C146" s="161"/>
      <c r="D146" s="161"/>
      <c r="E146" s="161"/>
      <c r="F146" s="161" t="s">
        <v>145</v>
      </c>
      <c r="G146" s="161"/>
      <c r="H146" s="162" t="e">
        <f>G58+G87+G143</f>
        <v>#REF!</v>
      </c>
      <c r="I146" s="161"/>
      <c r="J146" s="163"/>
      <c r="K146" s="163"/>
      <c r="L146" s="163"/>
      <c r="M146" s="163"/>
      <c r="N146" s="161"/>
    </row>
    <row r="147" spans="1:14" ht="15">
      <c r="A147" s="161" t="s">
        <v>268</v>
      </c>
      <c r="B147" s="161"/>
      <c r="C147" s="161"/>
      <c r="D147" s="161"/>
      <c r="E147" s="161"/>
      <c r="F147" s="161" t="s">
        <v>146</v>
      </c>
      <c r="G147" s="161"/>
      <c r="H147" s="162" t="e">
        <f>H58+H87+H143</f>
        <v>#REF!</v>
      </c>
      <c r="I147" s="161"/>
      <c r="J147" s="163"/>
      <c r="K147" s="163"/>
      <c r="L147" s="163"/>
      <c r="M147" s="163"/>
      <c r="N147" s="161"/>
    </row>
    <row r="148" spans="1:14" ht="15">
      <c r="A148" s="247" t="s">
        <v>269</v>
      </c>
      <c r="B148" s="247"/>
      <c r="C148" s="247"/>
      <c r="D148" s="247"/>
      <c r="E148" s="247"/>
      <c r="F148" s="247"/>
      <c r="G148" s="247"/>
      <c r="H148" s="247"/>
      <c r="I148" s="247"/>
      <c r="J148" s="247"/>
      <c r="K148" s="247"/>
      <c r="L148" s="247"/>
      <c r="M148" s="247"/>
      <c r="N148" s="161"/>
    </row>
    <row r="149" spans="1:14" ht="15">
      <c r="A149" s="248" t="s">
        <v>270</v>
      </c>
      <c r="B149" s="248"/>
      <c r="C149" s="248"/>
      <c r="D149" s="248"/>
      <c r="E149" s="248"/>
      <c r="F149" s="248"/>
      <c r="G149" s="248"/>
      <c r="H149" s="248"/>
      <c r="I149" s="248"/>
      <c r="J149" s="248"/>
      <c r="K149" s="248"/>
      <c r="L149" s="248"/>
      <c r="M149" s="248"/>
      <c r="N149" s="161"/>
    </row>
    <row r="150" spans="1:14" ht="15">
      <c r="A150" s="161"/>
      <c r="B150" s="161"/>
      <c r="C150" s="161"/>
      <c r="D150" s="161"/>
      <c r="E150" s="161"/>
      <c r="F150" s="161"/>
      <c r="G150" s="161"/>
      <c r="H150" s="161"/>
      <c r="I150" s="161"/>
      <c r="J150" s="163"/>
      <c r="K150" s="163"/>
      <c r="L150" s="163"/>
      <c r="M150" s="163"/>
      <c r="N150" s="163"/>
    </row>
    <row r="151" spans="1:14" ht="15">
      <c r="A151" s="249" t="s">
        <v>271</v>
      </c>
      <c r="B151" s="249"/>
      <c r="C151" s="249"/>
      <c r="D151" s="249"/>
      <c r="E151" s="249"/>
      <c r="F151" s="249"/>
      <c r="G151" s="249"/>
      <c r="H151" s="249"/>
      <c r="I151" s="249"/>
      <c r="J151" s="249"/>
      <c r="K151" s="249"/>
      <c r="L151" s="249"/>
      <c r="M151" s="249"/>
      <c r="N151" s="249"/>
    </row>
  </sheetData>
  <sheetProtection/>
  <mergeCells count="30">
    <mergeCell ref="A148:M148"/>
    <mergeCell ref="A149:M149"/>
    <mergeCell ref="A151:N151"/>
    <mergeCell ref="J63:J64"/>
    <mergeCell ref="J114:J115"/>
    <mergeCell ref="B63:B64"/>
    <mergeCell ref="D63:E63"/>
    <mergeCell ref="G63:H63"/>
    <mergeCell ref="B114:B115"/>
    <mergeCell ref="D114:E114"/>
    <mergeCell ref="B96:B97"/>
    <mergeCell ref="D96:E96"/>
    <mergeCell ref="G96:H96"/>
    <mergeCell ref="B2:N2"/>
    <mergeCell ref="C5:D5"/>
    <mergeCell ref="E5:G5"/>
    <mergeCell ref="C6:G6"/>
    <mergeCell ref="H6:I6"/>
    <mergeCell ref="L6:N6"/>
    <mergeCell ref="G35:H35"/>
    <mergeCell ref="B145:G145"/>
    <mergeCell ref="G114:H114"/>
    <mergeCell ref="C90:D90"/>
    <mergeCell ref="E90:G90"/>
    <mergeCell ref="H90:I90"/>
    <mergeCell ref="J6:K6"/>
    <mergeCell ref="C7:D7"/>
    <mergeCell ref="E7:G7"/>
    <mergeCell ref="B35:B36"/>
    <mergeCell ref="D35:E35"/>
  </mergeCells>
  <printOptions/>
  <pageMargins left="0" right="0" top="0" bottom="0"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theme="3" tint="0.7999799847602844"/>
  </sheetPr>
  <dimension ref="A1:N112"/>
  <sheetViews>
    <sheetView zoomScale="80" zoomScaleNormal="80" zoomScalePageLayoutView="0" workbookViewId="0" topLeftCell="A16">
      <selection activeCell="D117" sqref="D117"/>
    </sheetView>
  </sheetViews>
  <sheetFormatPr defaultColWidth="9.140625" defaultRowHeight="12.75"/>
  <cols>
    <col min="2" max="2" width="42.7109375" style="0" customWidth="1"/>
    <col min="3" max="3" width="13.57421875" style="0" customWidth="1"/>
    <col min="4" max="4" width="13.28125" style="0" customWidth="1"/>
    <col min="8" max="8" width="13.421875" style="0" bestFit="1" customWidth="1"/>
    <col min="9" max="9" width="11.28125" style="0" customWidth="1"/>
    <col min="10" max="10" width="22.8515625" style="0" customWidth="1"/>
    <col min="11" max="11" width="11.28125" style="0" customWidth="1"/>
  </cols>
  <sheetData>
    <row r="1" spans="1:14" ht="15">
      <c r="A1" s="24"/>
      <c r="B1" s="24"/>
      <c r="C1" s="24"/>
      <c r="D1" s="24"/>
      <c r="E1" s="24"/>
      <c r="F1" s="24"/>
      <c r="G1" s="24"/>
      <c r="H1" s="24"/>
      <c r="I1" s="24"/>
      <c r="J1" s="90"/>
      <c r="K1" s="90"/>
      <c r="L1" s="90"/>
      <c r="M1" s="90"/>
      <c r="N1" s="90"/>
    </row>
    <row r="2" spans="1:14" ht="57.75" customHeight="1">
      <c r="A2" s="190"/>
      <c r="B2" s="244" t="s">
        <v>272</v>
      </c>
      <c r="C2" s="245"/>
      <c r="D2" s="245"/>
      <c r="E2" s="245"/>
      <c r="F2" s="245"/>
      <c r="G2" s="245"/>
      <c r="H2" s="245"/>
      <c r="I2" s="245"/>
      <c r="J2" s="245"/>
      <c r="K2" s="245"/>
      <c r="L2" s="245"/>
      <c r="M2" s="245"/>
      <c r="N2" s="245"/>
    </row>
    <row r="3" spans="1:14" ht="18.75" customHeight="1">
      <c r="A3" s="190" t="s">
        <v>110</v>
      </c>
      <c r="B3" s="93" t="s">
        <v>189</v>
      </c>
      <c r="C3" s="92"/>
      <c r="D3" s="92"/>
      <c r="E3" s="92"/>
      <c r="F3" s="92"/>
      <c r="G3" s="92"/>
      <c r="H3" s="92"/>
      <c r="I3" s="92"/>
      <c r="J3" s="92"/>
      <c r="K3" s="92"/>
      <c r="L3" s="92"/>
      <c r="M3" s="92"/>
      <c r="N3" s="92"/>
    </row>
    <row r="4" spans="1:14" ht="12.75">
      <c r="A4" s="94"/>
      <c r="B4" s="94"/>
      <c r="C4" s="237"/>
      <c r="D4" s="237"/>
      <c r="E4" s="237"/>
      <c r="F4" s="237"/>
      <c r="G4" s="237"/>
      <c r="H4" s="28"/>
      <c r="I4" s="28"/>
      <c r="J4" s="94"/>
      <c r="K4" s="94"/>
      <c r="L4" s="94"/>
      <c r="M4" s="94"/>
      <c r="N4" s="94"/>
    </row>
    <row r="5" spans="1:14" ht="12.75">
      <c r="A5" s="95" t="s">
        <v>190</v>
      </c>
      <c r="B5" s="96" t="s">
        <v>191</v>
      </c>
      <c r="C5" s="238" t="s">
        <v>192</v>
      </c>
      <c r="D5" s="239"/>
      <c r="E5" s="239"/>
      <c r="F5" s="239"/>
      <c r="G5" s="239"/>
      <c r="H5" s="239" t="s">
        <v>193</v>
      </c>
      <c r="I5" s="239"/>
      <c r="J5" s="234" t="s">
        <v>194</v>
      </c>
      <c r="K5" s="235"/>
      <c r="L5" s="234" t="s">
        <v>195</v>
      </c>
      <c r="M5" s="246"/>
      <c r="N5" s="235"/>
    </row>
    <row r="6" spans="1:14" ht="12.75">
      <c r="A6" s="98" t="s">
        <v>196</v>
      </c>
      <c r="B6" s="99" t="s">
        <v>197</v>
      </c>
      <c r="C6" s="238" t="s">
        <v>198</v>
      </c>
      <c r="D6" s="239"/>
      <c r="E6" s="239" t="s">
        <v>199</v>
      </c>
      <c r="F6" s="239"/>
      <c r="G6" s="239"/>
      <c r="H6" s="97" t="s">
        <v>198</v>
      </c>
      <c r="I6" s="97" t="s">
        <v>199</v>
      </c>
      <c r="J6" s="27" t="s">
        <v>200</v>
      </c>
      <c r="K6" s="27" t="s">
        <v>200</v>
      </c>
      <c r="L6" s="27" t="s">
        <v>201</v>
      </c>
      <c r="M6" s="27" t="s">
        <v>202</v>
      </c>
      <c r="N6" s="27" t="s">
        <v>203</v>
      </c>
    </row>
    <row r="7" spans="1:14" ht="12.75">
      <c r="A7" s="99"/>
      <c r="B7" s="99"/>
      <c r="C7" s="97" t="s">
        <v>204</v>
      </c>
      <c r="D7" s="97" t="s">
        <v>205</v>
      </c>
      <c r="E7" s="97" t="s">
        <v>204</v>
      </c>
      <c r="F7" s="97" t="s">
        <v>205</v>
      </c>
      <c r="G7" s="97" t="s">
        <v>206</v>
      </c>
      <c r="H7" s="100"/>
      <c r="I7" s="100"/>
      <c r="J7" s="27" t="s">
        <v>207</v>
      </c>
      <c r="K7" s="27" t="s">
        <v>208</v>
      </c>
      <c r="L7" s="27" t="s">
        <v>209</v>
      </c>
      <c r="M7" s="27" t="s">
        <v>209</v>
      </c>
      <c r="N7" s="27" t="s">
        <v>209</v>
      </c>
    </row>
    <row r="8" spans="1:14" ht="15">
      <c r="A8" s="97"/>
      <c r="B8" s="97"/>
      <c r="C8" s="97" t="s">
        <v>210</v>
      </c>
      <c r="D8" s="97" t="s">
        <v>211</v>
      </c>
      <c r="E8" s="97" t="s">
        <v>210</v>
      </c>
      <c r="F8" s="97" t="s">
        <v>211</v>
      </c>
      <c r="G8" s="97"/>
      <c r="H8" s="100"/>
      <c r="I8" s="100"/>
      <c r="J8" s="27" t="s">
        <v>212</v>
      </c>
      <c r="K8" s="27" t="s">
        <v>213</v>
      </c>
      <c r="L8" s="101"/>
      <c r="M8" s="101"/>
      <c r="N8" s="102"/>
    </row>
    <row r="9" spans="1:14" ht="12.75">
      <c r="A9" s="101">
        <v>1</v>
      </c>
      <c r="B9" s="101" t="s">
        <v>214</v>
      </c>
      <c r="C9" s="103">
        <f>25.1+0.16</f>
        <v>25.26</v>
      </c>
      <c r="D9" s="103">
        <v>1.1</v>
      </c>
      <c r="E9" s="103">
        <f>14+0.67</f>
        <v>14.67</v>
      </c>
      <c r="F9" s="103">
        <f>4.9+1.32+15.3</f>
        <v>21.520000000000003</v>
      </c>
      <c r="G9" s="103"/>
      <c r="H9" s="103">
        <f>23.3+0.025+0.832</f>
        <v>24.157</v>
      </c>
      <c r="I9" s="103">
        <f>20.25+0.05</f>
        <v>20.3</v>
      </c>
      <c r="J9" s="101">
        <v>22</v>
      </c>
      <c r="K9" s="101">
        <f>292+2</f>
        <v>294</v>
      </c>
      <c r="L9" s="101">
        <v>4</v>
      </c>
      <c r="M9" s="101">
        <f>18+1</f>
        <v>19</v>
      </c>
      <c r="N9" s="101">
        <v>24</v>
      </c>
    </row>
    <row r="10" spans="1:14" ht="12.75">
      <c r="A10" s="101">
        <v>2</v>
      </c>
      <c r="B10" s="101" t="s">
        <v>215</v>
      </c>
      <c r="C10" s="103">
        <f>47.8+2.7+0.212+0.212</f>
        <v>50.92400000000001</v>
      </c>
      <c r="D10" s="103">
        <v>14</v>
      </c>
      <c r="E10" s="103">
        <f>23.1+0.664+0.664</f>
        <v>24.428000000000004</v>
      </c>
      <c r="F10" s="103">
        <f>46.3+1.2+26.5</f>
        <v>74</v>
      </c>
      <c r="G10" s="103"/>
      <c r="H10" s="103">
        <f>30.8+0.242</f>
        <v>31.042</v>
      </c>
      <c r="I10" s="103">
        <f>29.9+0.03</f>
        <v>29.93</v>
      </c>
      <c r="J10" s="101">
        <v>28</v>
      </c>
      <c r="K10" s="101">
        <f>588+2+2</f>
        <v>592</v>
      </c>
      <c r="L10" s="101">
        <v>1</v>
      </c>
      <c r="M10" s="101">
        <f>25+1+1+1</f>
        <v>28</v>
      </c>
      <c r="N10" s="101">
        <v>68</v>
      </c>
    </row>
    <row r="11" spans="1:14" ht="12.75">
      <c r="A11" s="101">
        <v>3</v>
      </c>
      <c r="B11" s="101" t="s">
        <v>216</v>
      </c>
      <c r="C11" s="103">
        <v>13.3</v>
      </c>
      <c r="D11" s="103"/>
      <c r="E11" s="103"/>
      <c r="F11" s="103"/>
      <c r="G11" s="103"/>
      <c r="H11" s="103">
        <v>10.5</v>
      </c>
      <c r="I11" s="103">
        <v>10</v>
      </c>
      <c r="J11" s="101">
        <v>22</v>
      </c>
      <c r="K11" s="101">
        <v>60</v>
      </c>
      <c r="L11" s="101"/>
      <c r="M11" s="101"/>
      <c r="N11" s="101">
        <v>10</v>
      </c>
    </row>
    <row r="12" spans="1:14" ht="12.75">
      <c r="A12" s="101">
        <v>4</v>
      </c>
      <c r="B12" s="101" t="s">
        <v>217</v>
      </c>
      <c r="C12" s="103">
        <f>1.5+0.12+0.12</f>
        <v>1.7400000000000002</v>
      </c>
      <c r="D12" s="103">
        <f>0.4</f>
        <v>0.4</v>
      </c>
      <c r="E12" s="103">
        <f>1.5+0.2+0.4</f>
        <v>2.1</v>
      </c>
      <c r="F12" s="103">
        <f>4+0.5</f>
        <v>4.5</v>
      </c>
      <c r="G12" s="103"/>
      <c r="H12" s="104">
        <f>0.85+0.04+0.04</f>
        <v>0.93</v>
      </c>
      <c r="I12" s="103">
        <f>8+0.06+0.06</f>
        <v>8.120000000000001</v>
      </c>
      <c r="J12" s="101">
        <v>8</v>
      </c>
      <c r="K12" s="101">
        <v>110</v>
      </c>
      <c r="L12" s="101"/>
      <c r="M12" s="101">
        <f>6+1+1</f>
        <v>8</v>
      </c>
      <c r="N12" s="101">
        <v>13</v>
      </c>
    </row>
    <row r="13" spans="1:14" ht="12.75">
      <c r="A13" s="101">
        <v>5</v>
      </c>
      <c r="B13" s="101" t="s">
        <v>218</v>
      </c>
      <c r="C13" s="103"/>
      <c r="D13" s="103"/>
      <c r="E13" s="103">
        <v>0.2</v>
      </c>
      <c r="F13" s="103"/>
      <c r="G13" s="103"/>
      <c r="H13" s="103"/>
      <c r="I13" s="103">
        <v>3.1</v>
      </c>
      <c r="J13" s="101"/>
      <c r="K13" s="101">
        <v>6</v>
      </c>
      <c r="L13" s="101"/>
      <c r="M13" s="101"/>
      <c r="N13" s="101">
        <v>1</v>
      </c>
    </row>
    <row r="14" spans="1:14" ht="12.75">
      <c r="A14" s="101">
        <v>6</v>
      </c>
      <c r="B14" s="101" t="s">
        <v>219</v>
      </c>
      <c r="C14" s="103">
        <f>17+0.65+0.05+0.23</f>
        <v>17.93</v>
      </c>
      <c r="D14" s="103">
        <v>5</v>
      </c>
      <c r="E14" s="103">
        <f>5+0.15</f>
        <v>5.15</v>
      </c>
      <c r="F14" s="103">
        <f>10+6.6</f>
        <v>16.6</v>
      </c>
      <c r="G14" s="103"/>
      <c r="H14" s="103">
        <f>14+0.2+0.1</f>
        <v>14.299999999999999</v>
      </c>
      <c r="I14" s="103">
        <f>22+0.1</f>
        <v>22.1</v>
      </c>
      <c r="J14" s="101">
        <v>18</v>
      </c>
      <c r="K14" s="101">
        <f>84+1</f>
        <v>85</v>
      </c>
      <c r="L14" s="101"/>
      <c r="M14" s="101">
        <f>7+1</f>
        <v>8</v>
      </c>
      <c r="N14" s="101">
        <v>10</v>
      </c>
    </row>
    <row r="15" spans="1:14" ht="12.75">
      <c r="A15" s="101">
        <v>7</v>
      </c>
      <c r="B15" s="101" t="s">
        <v>220</v>
      </c>
      <c r="C15" s="103">
        <v>0.7</v>
      </c>
      <c r="D15" s="103"/>
      <c r="E15" s="103">
        <v>2</v>
      </c>
      <c r="F15" s="103">
        <f>19+9.5</f>
        <v>28.5</v>
      </c>
      <c r="G15" s="103"/>
      <c r="H15" s="103">
        <v>24</v>
      </c>
      <c r="I15" s="103">
        <v>19</v>
      </c>
      <c r="J15" s="101">
        <v>10</v>
      </c>
      <c r="K15" s="101">
        <v>156</v>
      </c>
      <c r="L15" s="101"/>
      <c r="M15" s="101">
        <v>6</v>
      </c>
      <c r="N15" s="101">
        <v>21</v>
      </c>
    </row>
    <row r="16" spans="1:14" ht="12.75">
      <c r="A16" s="101">
        <v>8</v>
      </c>
      <c r="B16" s="101" t="s">
        <v>221</v>
      </c>
      <c r="C16" s="103">
        <f>13+4+0.7+1.3</f>
        <v>19</v>
      </c>
      <c r="D16" s="103">
        <f>5+0.28</f>
        <v>5.28</v>
      </c>
      <c r="E16" s="103">
        <f>3+0.06+3.5+1.5+3</f>
        <v>11.06</v>
      </c>
      <c r="F16" s="103">
        <f>6+1.55</f>
        <v>7.55</v>
      </c>
      <c r="G16" s="103"/>
      <c r="H16" s="103">
        <f>18+0.25+1.5+0.18+0.16</f>
        <v>20.09</v>
      </c>
      <c r="I16" s="103">
        <f>18+0.445+0.22+0.42</f>
        <v>19.085</v>
      </c>
      <c r="J16" s="101">
        <f>20+6</f>
        <v>26</v>
      </c>
      <c r="K16" s="101">
        <f>246+2+5</f>
        <v>253</v>
      </c>
      <c r="L16" s="101">
        <v>2</v>
      </c>
      <c r="M16" s="101">
        <f>11+1+1+3+4</f>
        <v>20</v>
      </c>
      <c r="N16" s="101">
        <f>23+2+1</f>
        <v>26</v>
      </c>
    </row>
    <row r="17" spans="1:14" ht="12.75">
      <c r="A17" s="101">
        <v>9</v>
      </c>
      <c r="B17" s="101" t="s">
        <v>222</v>
      </c>
      <c r="C17" s="103">
        <f>1.14</f>
        <v>1.14</v>
      </c>
      <c r="D17" s="103"/>
      <c r="E17" s="103"/>
      <c r="F17" s="103"/>
      <c r="G17" s="103"/>
      <c r="H17" s="103">
        <f>10+0.53</f>
        <v>10.53</v>
      </c>
      <c r="I17" s="103">
        <v>15</v>
      </c>
      <c r="J17" s="101">
        <v>2</v>
      </c>
      <c r="K17" s="101">
        <v>30</v>
      </c>
      <c r="L17" s="101"/>
      <c r="M17" s="101">
        <v>1</v>
      </c>
      <c r="N17" s="101">
        <f>5+1</f>
        <v>6</v>
      </c>
    </row>
    <row r="18" spans="1:14" ht="12.75">
      <c r="A18" s="105"/>
      <c r="B18" s="105" t="s">
        <v>223</v>
      </c>
      <c r="C18" s="106">
        <f>SUM(C9:C17)</f>
        <v>129.99399999999997</v>
      </c>
      <c r="D18" s="106">
        <f aca="true" t="shared" si="0" ref="D18:N18">SUM(D9:D17)</f>
        <v>25.78</v>
      </c>
      <c r="E18" s="106">
        <f t="shared" si="0"/>
        <v>59.60800000000001</v>
      </c>
      <c r="F18" s="106">
        <f t="shared" si="0"/>
        <v>152.67000000000002</v>
      </c>
      <c r="G18" s="106">
        <f t="shared" si="0"/>
        <v>0</v>
      </c>
      <c r="H18" s="106">
        <f>SUM(H9:H17)</f>
        <v>135.549</v>
      </c>
      <c r="I18" s="106">
        <f t="shared" si="0"/>
        <v>146.63500000000002</v>
      </c>
      <c r="J18" s="106">
        <f t="shared" si="0"/>
        <v>136</v>
      </c>
      <c r="K18" s="106">
        <f t="shared" si="0"/>
        <v>1586</v>
      </c>
      <c r="L18" s="106">
        <f t="shared" si="0"/>
        <v>7</v>
      </c>
      <c r="M18" s="106">
        <f t="shared" si="0"/>
        <v>90</v>
      </c>
      <c r="N18" s="106">
        <f t="shared" si="0"/>
        <v>179</v>
      </c>
    </row>
    <row r="19" spans="1:14" ht="15">
      <c r="A19" s="101"/>
      <c r="B19" s="101"/>
      <c r="C19" s="101"/>
      <c r="D19" s="101"/>
      <c r="E19" s="101"/>
      <c r="F19" s="101"/>
      <c r="G19" s="101"/>
      <c r="H19" s="101"/>
      <c r="I19" s="102"/>
      <c r="J19" s="102"/>
      <c r="K19" s="102"/>
      <c r="L19" s="102"/>
      <c r="M19" s="102"/>
      <c r="N19" s="102"/>
    </row>
    <row r="20" spans="1:14" ht="12.75">
      <c r="A20" s="101">
        <v>1</v>
      </c>
      <c r="B20" s="101" t="s">
        <v>224</v>
      </c>
      <c r="C20" s="103">
        <f>10+2.23</f>
        <v>12.23</v>
      </c>
      <c r="D20" s="103">
        <v>2</v>
      </c>
      <c r="E20" s="103">
        <v>4</v>
      </c>
      <c r="F20" s="103">
        <f>21.2+10.7</f>
        <v>31.9</v>
      </c>
      <c r="G20" s="103"/>
      <c r="H20" s="103">
        <f>22+0.407</f>
        <v>22.407</v>
      </c>
      <c r="I20" s="103">
        <f>21+0.691</f>
        <v>21.691</v>
      </c>
      <c r="J20" s="101">
        <v>16</v>
      </c>
      <c r="K20" s="101">
        <f>198+4</f>
        <v>202</v>
      </c>
      <c r="L20" s="101"/>
      <c r="M20" s="101">
        <f>5+1</f>
        <v>6</v>
      </c>
      <c r="N20" s="101">
        <f>26+1</f>
        <v>27</v>
      </c>
    </row>
    <row r="21" spans="1:14" ht="12.75">
      <c r="A21" s="101">
        <v>2</v>
      </c>
      <c r="B21" s="101" t="s">
        <v>225</v>
      </c>
      <c r="C21" s="103">
        <f>4.5+2+0.35</f>
        <v>6.85</v>
      </c>
      <c r="D21" s="103"/>
      <c r="E21" s="103">
        <v>15</v>
      </c>
      <c r="F21" s="103">
        <f>38+19</f>
        <v>57</v>
      </c>
      <c r="G21" s="103"/>
      <c r="H21" s="103">
        <v>36.1</v>
      </c>
      <c r="I21" s="103">
        <v>18</v>
      </c>
      <c r="J21" s="101">
        <v>6</v>
      </c>
      <c r="K21" s="101">
        <f>168+3</f>
        <v>171</v>
      </c>
      <c r="L21" s="101"/>
      <c r="M21" s="101">
        <v>12</v>
      </c>
      <c r="N21" s="101">
        <v>19</v>
      </c>
    </row>
    <row r="22" spans="1:14" ht="12.75">
      <c r="A22" s="101">
        <v>3</v>
      </c>
      <c r="B22" s="101" t="s">
        <v>226</v>
      </c>
      <c r="C22" s="103">
        <f>1.7+0.24+0.07</f>
        <v>2.01</v>
      </c>
      <c r="D22" s="103"/>
      <c r="E22" s="103">
        <f>14+0.36+2.187</f>
        <v>16.547</v>
      </c>
      <c r="F22" s="103">
        <f>25+18</f>
        <v>43</v>
      </c>
      <c r="G22" s="103"/>
      <c r="H22" s="103">
        <f>40+0.02+1.7+0.533+0.533</f>
        <v>42.78600000000001</v>
      </c>
      <c r="I22" s="103">
        <v>22</v>
      </c>
      <c r="J22" s="101">
        <v>22</v>
      </c>
      <c r="K22" s="101">
        <f>276+2+3+4+4</f>
        <v>289</v>
      </c>
      <c r="L22" s="101">
        <v>1</v>
      </c>
      <c r="M22" s="101">
        <f>15+1</f>
        <v>16</v>
      </c>
      <c r="N22" s="101">
        <f>24+1+1+1</f>
        <v>27</v>
      </c>
    </row>
    <row r="23" spans="1:14" ht="12.75">
      <c r="A23" s="101">
        <v>4</v>
      </c>
      <c r="B23" s="101" t="s">
        <v>227</v>
      </c>
      <c r="C23" s="103"/>
      <c r="D23" s="103"/>
      <c r="E23" s="103">
        <v>4</v>
      </c>
      <c r="F23" s="103">
        <f>16+15</f>
        <v>31</v>
      </c>
      <c r="G23" s="103"/>
      <c r="H23" s="103">
        <f>10+0.775</f>
        <v>10.775</v>
      </c>
      <c r="I23" s="103">
        <v>15.6</v>
      </c>
      <c r="J23" s="101">
        <v>6</v>
      </c>
      <c r="K23" s="101">
        <f>138+5</f>
        <v>143</v>
      </c>
      <c r="L23" s="101"/>
      <c r="M23" s="101">
        <v>6</v>
      </c>
      <c r="N23" s="101">
        <f>17+1</f>
        <v>18</v>
      </c>
    </row>
    <row r="24" spans="1:14" ht="12.75">
      <c r="A24" s="101">
        <v>5</v>
      </c>
      <c r="B24" s="101" t="s">
        <v>228</v>
      </c>
      <c r="C24" s="103">
        <v>0.1</v>
      </c>
      <c r="D24" s="103"/>
      <c r="E24" s="103">
        <v>5</v>
      </c>
      <c r="F24" s="103"/>
      <c r="G24" s="103"/>
      <c r="H24" s="103">
        <f>20+0.65</f>
        <v>20.65</v>
      </c>
      <c r="I24" s="103">
        <v>6</v>
      </c>
      <c r="J24" s="101">
        <v>2</v>
      </c>
      <c r="K24" s="101">
        <f>30+2+1</f>
        <v>33</v>
      </c>
      <c r="L24" s="101">
        <f>1</f>
        <v>1</v>
      </c>
      <c r="M24" s="101">
        <f>1+1</f>
        <v>2</v>
      </c>
      <c r="N24" s="101">
        <v>5</v>
      </c>
    </row>
    <row r="25" spans="1:14" ht="12.75">
      <c r="A25" s="101">
        <v>6</v>
      </c>
      <c r="B25" s="101" t="s">
        <v>229</v>
      </c>
      <c r="C25" s="103">
        <v>0.9</v>
      </c>
      <c r="D25" s="103"/>
      <c r="E25" s="103">
        <v>1.5</v>
      </c>
      <c r="F25" s="103">
        <f>8+5</f>
        <v>13</v>
      </c>
      <c r="G25" s="103"/>
      <c r="H25" s="103">
        <v>8</v>
      </c>
      <c r="I25" s="103">
        <v>14</v>
      </c>
      <c r="J25" s="101">
        <v>2</v>
      </c>
      <c r="K25" s="101">
        <v>30</v>
      </c>
      <c r="L25" s="101"/>
      <c r="M25" s="101"/>
      <c r="N25" s="101">
        <v>5</v>
      </c>
    </row>
    <row r="26" spans="1:14" ht="12.75">
      <c r="A26" s="101">
        <v>7</v>
      </c>
      <c r="B26" s="101" t="s">
        <v>230</v>
      </c>
      <c r="C26" s="103">
        <f>3.5+1.6+1+0.25</f>
        <v>6.35</v>
      </c>
      <c r="D26" s="103">
        <v>0.5</v>
      </c>
      <c r="E26" s="103">
        <f>3.4+1.28+0.855</f>
        <v>5.535</v>
      </c>
      <c r="F26" s="103">
        <f>3+0.3</f>
        <v>3.3</v>
      </c>
      <c r="G26" s="103"/>
      <c r="H26" s="104">
        <f>2.85+0.08+0.5+0.44</f>
        <v>3.87</v>
      </c>
      <c r="I26" s="103">
        <f>10.8+0.156</f>
        <v>10.956000000000001</v>
      </c>
      <c r="J26" s="101">
        <v>15</v>
      </c>
      <c r="K26" s="101">
        <f>92+2+8+2</f>
        <v>104</v>
      </c>
      <c r="L26" s="101"/>
      <c r="M26" s="101">
        <f>4+1+1</f>
        <v>6</v>
      </c>
      <c r="N26" s="101">
        <f>12+2</f>
        <v>14</v>
      </c>
    </row>
    <row r="27" spans="1:14" ht="12.75">
      <c r="A27" s="100">
        <v>8</v>
      </c>
      <c r="B27" s="100" t="s">
        <v>231</v>
      </c>
      <c r="C27" s="103">
        <f>2+4.5</f>
        <v>6.5</v>
      </c>
      <c r="D27" s="103">
        <v>0.3</v>
      </c>
      <c r="E27" s="103">
        <v>0.8</v>
      </c>
      <c r="F27" s="103">
        <f>2+1</f>
        <v>3</v>
      </c>
      <c r="G27" s="103"/>
      <c r="H27" s="103">
        <f>0.1+0.16</f>
        <v>0.26</v>
      </c>
      <c r="I27" s="103">
        <v>2</v>
      </c>
      <c r="J27" s="101">
        <v>12</v>
      </c>
      <c r="K27" s="101">
        <v>66</v>
      </c>
      <c r="L27" s="101"/>
      <c r="M27" s="101">
        <v>5</v>
      </c>
      <c r="N27" s="100">
        <v>9</v>
      </c>
    </row>
    <row r="28" spans="1:14" ht="12.75">
      <c r="A28" s="100">
        <v>9</v>
      </c>
      <c r="B28" s="100" t="s">
        <v>232</v>
      </c>
      <c r="C28" s="103">
        <f>10+0.56+0.733</f>
        <v>11.293000000000001</v>
      </c>
      <c r="D28" s="103">
        <f>2.8+0.24</f>
        <v>3.04</v>
      </c>
      <c r="E28" s="103">
        <f>1.1+3.15+0.6+0.9+2.735</f>
        <v>8.485</v>
      </c>
      <c r="F28" s="103">
        <f>10+3+1.1</f>
        <v>14.1</v>
      </c>
      <c r="G28" s="103"/>
      <c r="H28" s="103">
        <f>0.9+0.48+0.1+0.045</f>
        <v>1.525</v>
      </c>
      <c r="I28" s="103">
        <f>3.1+5+0.644+0.2+0.1</f>
        <v>9.043999999999999</v>
      </c>
      <c r="J28" s="101">
        <v>32</v>
      </c>
      <c r="K28" s="101">
        <f>121+4+5+6</f>
        <v>136</v>
      </c>
      <c r="L28" s="101">
        <v>1</v>
      </c>
      <c r="M28" s="101">
        <f>3+2+1</f>
        <v>6</v>
      </c>
      <c r="N28" s="100">
        <f>21+1+1</f>
        <v>23</v>
      </c>
    </row>
    <row r="29" spans="1:14" ht="12.75">
      <c r="A29" s="100">
        <v>10</v>
      </c>
      <c r="B29" s="100" t="s">
        <v>233</v>
      </c>
      <c r="C29" s="107">
        <v>2.8</v>
      </c>
      <c r="D29" s="107"/>
      <c r="E29" s="107">
        <v>0.8</v>
      </c>
      <c r="F29" s="107"/>
      <c r="G29" s="107"/>
      <c r="H29" s="107">
        <v>0.8</v>
      </c>
      <c r="I29" s="107"/>
      <c r="J29" s="100"/>
      <c r="K29" s="100">
        <v>1</v>
      </c>
      <c r="L29" s="100">
        <v>1</v>
      </c>
      <c r="M29" s="100"/>
      <c r="N29" s="100"/>
    </row>
    <row r="30" spans="1:14" ht="12.75">
      <c r="A30" s="100"/>
      <c r="B30" s="100"/>
      <c r="C30" s="107"/>
      <c r="D30" s="107"/>
      <c r="E30" s="107"/>
      <c r="F30" s="107"/>
      <c r="G30" s="107"/>
      <c r="H30" s="107"/>
      <c r="I30" s="107"/>
      <c r="J30" s="100"/>
      <c r="K30" s="100"/>
      <c r="L30" s="100"/>
      <c r="M30" s="100"/>
      <c r="N30" s="100"/>
    </row>
    <row r="31" spans="1:14" ht="12.75">
      <c r="A31" s="108"/>
      <c r="B31" s="108" t="s">
        <v>234</v>
      </c>
      <c r="C31" s="109">
        <f>SUM(C20:C29)</f>
        <v>49.032999999999994</v>
      </c>
      <c r="D31" s="109">
        <f>SUM(D20:D29)</f>
        <v>5.84</v>
      </c>
      <c r="E31" s="109">
        <f>SUM(E20:E29)</f>
        <v>61.66699999999999</v>
      </c>
      <c r="F31" s="109">
        <f>SUM(F20:F29)</f>
        <v>196.3</v>
      </c>
      <c r="G31" s="109">
        <f>SUM(G20:G29)</f>
        <v>0</v>
      </c>
      <c r="H31" s="109">
        <f aca="true" t="shared" si="1" ref="H31:N31">SUM(H20:H29)</f>
        <v>147.17300000000003</v>
      </c>
      <c r="I31" s="109">
        <f t="shared" si="1"/>
        <v>119.291</v>
      </c>
      <c r="J31" s="106">
        <f t="shared" si="1"/>
        <v>113</v>
      </c>
      <c r="K31" s="106">
        <f t="shared" si="1"/>
        <v>1175</v>
      </c>
      <c r="L31" s="106">
        <f t="shared" si="1"/>
        <v>4</v>
      </c>
      <c r="M31" s="106">
        <f t="shared" si="1"/>
        <v>59</v>
      </c>
      <c r="N31" s="106">
        <f t="shared" si="1"/>
        <v>147</v>
      </c>
    </row>
    <row r="32" spans="1:14" ht="12.75">
      <c r="A32" s="110"/>
      <c r="B32" s="110"/>
      <c r="C32" s="111"/>
      <c r="D32" s="111"/>
      <c r="E32" s="111"/>
      <c r="F32" s="111"/>
      <c r="G32" s="111"/>
      <c r="H32" s="111"/>
      <c r="I32" s="111"/>
      <c r="J32" s="112"/>
      <c r="K32" s="112"/>
      <c r="L32" s="112"/>
      <c r="M32" s="112"/>
      <c r="N32" s="112"/>
    </row>
    <row r="33" spans="1:14" ht="15">
      <c r="A33" s="24"/>
      <c r="B33" s="24"/>
      <c r="C33" s="24"/>
      <c r="D33" s="24"/>
      <c r="E33" s="24"/>
      <c r="F33" s="24"/>
      <c r="G33" s="24"/>
      <c r="H33" s="24"/>
      <c r="I33" s="24"/>
      <c r="J33" s="90"/>
      <c r="K33" s="90"/>
      <c r="L33" s="90"/>
      <c r="M33" s="90"/>
      <c r="N33" s="90"/>
    </row>
    <row r="34" spans="1:14" ht="15">
      <c r="A34" s="113"/>
      <c r="B34" s="240" t="s">
        <v>235</v>
      </c>
      <c r="C34" s="115" t="s">
        <v>236</v>
      </c>
      <c r="D34" s="242" t="s">
        <v>237</v>
      </c>
      <c r="E34" s="243"/>
      <c r="F34" s="116" t="s">
        <v>238</v>
      </c>
      <c r="G34" s="232" t="s">
        <v>239</v>
      </c>
      <c r="H34" s="233"/>
      <c r="I34" s="114" t="s">
        <v>240</v>
      </c>
      <c r="J34" s="117"/>
      <c r="K34" s="117"/>
      <c r="L34" s="117"/>
      <c r="M34" s="117"/>
      <c r="N34" s="117"/>
    </row>
    <row r="35" spans="1:14" ht="15">
      <c r="A35" s="24"/>
      <c r="B35" s="241"/>
      <c r="C35" s="118" t="s">
        <v>241</v>
      </c>
      <c r="D35" s="97" t="s">
        <v>242</v>
      </c>
      <c r="E35" s="118" t="s">
        <v>142</v>
      </c>
      <c r="F35" s="98" t="s">
        <v>243</v>
      </c>
      <c r="G35" s="97" t="s">
        <v>242</v>
      </c>
      <c r="H35" s="118" t="s">
        <v>142</v>
      </c>
      <c r="I35" s="119"/>
      <c r="J35" s="90"/>
      <c r="K35" s="90"/>
      <c r="L35" s="90"/>
      <c r="M35" s="90"/>
      <c r="N35" s="90"/>
    </row>
    <row r="36" spans="1:14" ht="15">
      <c r="A36" s="24"/>
      <c r="B36" s="120" t="s">
        <v>106</v>
      </c>
      <c r="C36" s="89"/>
      <c r="D36" s="120"/>
      <c r="E36" s="28"/>
      <c r="F36" s="121"/>
      <c r="G36" s="120"/>
      <c r="H36" s="122"/>
      <c r="I36" s="123"/>
      <c r="J36" s="90"/>
      <c r="K36" s="90"/>
      <c r="L36" s="90"/>
      <c r="M36" s="90"/>
      <c r="N36" s="90"/>
    </row>
    <row r="37" spans="1:14" ht="15">
      <c r="A37" s="24"/>
      <c r="B37" s="120" t="s">
        <v>244</v>
      </c>
      <c r="C37" s="89" t="s">
        <v>245</v>
      </c>
      <c r="D37" s="124"/>
      <c r="E37" s="125"/>
      <c r="F37" s="126"/>
      <c r="G37" s="124"/>
      <c r="H37" s="124"/>
      <c r="I37" s="123"/>
      <c r="J37" s="90"/>
      <c r="K37" s="90"/>
      <c r="L37" s="90"/>
      <c r="M37" s="90"/>
      <c r="N37" s="90"/>
    </row>
    <row r="38" spans="1:14" ht="15">
      <c r="A38" s="24"/>
      <c r="B38" s="120" t="s">
        <v>246</v>
      </c>
      <c r="C38" s="89" t="s">
        <v>245</v>
      </c>
      <c r="D38" s="124">
        <f>D18</f>
        <v>25.78</v>
      </c>
      <c r="E38" s="125">
        <f>D31</f>
        <v>5.84</v>
      </c>
      <c r="F38" s="126">
        <v>140</v>
      </c>
      <c r="G38" s="124">
        <f>D38*$F$38/100</f>
        <v>36.092000000000006</v>
      </c>
      <c r="H38" s="124">
        <f>E38*F38/100</f>
        <v>8.176</v>
      </c>
      <c r="I38" s="127">
        <f>G38+H38</f>
        <v>44.26800000000001</v>
      </c>
      <c r="J38" s="90"/>
      <c r="K38" s="90"/>
      <c r="L38" s="90"/>
      <c r="M38" s="90"/>
      <c r="N38" s="90"/>
    </row>
    <row r="39" spans="1:14" ht="15">
      <c r="A39" s="24"/>
      <c r="B39" s="120" t="s">
        <v>247</v>
      </c>
      <c r="C39" s="89" t="s">
        <v>245</v>
      </c>
      <c r="D39" s="124">
        <f>C18</f>
        <v>129.99399999999997</v>
      </c>
      <c r="E39" s="125">
        <f>C31</f>
        <v>49.032999999999994</v>
      </c>
      <c r="F39" s="126">
        <v>110</v>
      </c>
      <c r="G39" s="124">
        <f>D39*F39/100</f>
        <v>142.99339999999995</v>
      </c>
      <c r="H39" s="124">
        <f>E39*F39/100</f>
        <v>53.93629999999999</v>
      </c>
      <c r="I39" s="127">
        <f>G39+H39</f>
        <v>196.92969999999994</v>
      </c>
      <c r="J39" s="90"/>
      <c r="K39" s="90"/>
      <c r="L39" s="90"/>
      <c r="M39" s="90"/>
      <c r="N39" s="90"/>
    </row>
    <row r="40" spans="1:14" ht="15">
      <c r="A40" s="24"/>
      <c r="B40" s="120" t="s">
        <v>248</v>
      </c>
      <c r="C40" s="89" t="s">
        <v>245</v>
      </c>
      <c r="D40" s="124"/>
      <c r="E40" s="125"/>
      <c r="F40" s="126"/>
      <c r="G40" s="124"/>
      <c r="H40" s="124"/>
      <c r="I40" s="127"/>
      <c r="J40" s="90"/>
      <c r="K40" s="90"/>
      <c r="L40" s="90"/>
      <c r="M40" s="90"/>
      <c r="N40" s="90"/>
    </row>
    <row r="41" spans="1:14" ht="15">
      <c r="A41" s="24"/>
      <c r="B41" s="120" t="s">
        <v>249</v>
      </c>
      <c r="C41" s="89" t="s">
        <v>245</v>
      </c>
      <c r="D41" s="124">
        <f>G18</f>
        <v>0</v>
      </c>
      <c r="E41" s="125">
        <f>G31</f>
        <v>0</v>
      </c>
      <c r="F41" s="126">
        <v>260</v>
      </c>
      <c r="G41" s="124">
        <f>D41*F41/100</f>
        <v>0</v>
      </c>
      <c r="H41" s="124">
        <f>E41*F41/100</f>
        <v>0</v>
      </c>
      <c r="I41" s="127">
        <f>G41+H41</f>
        <v>0</v>
      </c>
      <c r="J41" s="90"/>
      <c r="K41" s="90"/>
      <c r="L41" s="90"/>
      <c r="M41" s="90"/>
      <c r="N41" s="90"/>
    </row>
    <row r="42" spans="1:14" ht="15">
      <c r="A42" s="24"/>
      <c r="B42" s="120" t="s">
        <v>250</v>
      </c>
      <c r="C42" s="89" t="s">
        <v>245</v>
      </c>
      <c r="D42" s="124">
        <f>F18</f>
        <v>152.67000000000002</v>
      </c>
      <c r="E42" s="125">
        <f>F31</f>
        <v>196.3</v>
      </c>
      <c r="F42" s="126">
        <v>220</v>
      </c>
      <c r="G42" s="124">
        <f>D42*F42/100</f>
        <v>335.874</v>
      </c>
      <c r="H42" s="124">
        <f>E42*F42/100</f>
        <v>431.86</v>
      </c>
      <c r="I42" s="127">
        <f>G42+H42</f>
        <v>767.734</v>
      </c>
      <c r="J42" s="90"/>
      <c r="K42" s="90"/>
      <c r="L42" s="90"/>
      <c r="M42" s="90"/>
      <c r="N42" s="90"/>
    </row>
    <row r="43" spans="1:14" ht="15">
      <c r="A43" s="24"/>
      <c r="B43" s="120" t="s">
        <v>251</v>
      </c>
      <c r="C43" s="89" t="s">
        <v>245</v>
      </c>
      <c r="D43" s="124">
        <f>E18</f>
        <v>59.60800000000001</v>
      </c>
      <c r="E43" s="125">
        <f>E31</f>
        <v>61.66699999999999</v>
      </c>
      <c r="F43" s="126">
        <v>150</v>
      </c>
      <c r="G43" s="124">
        <f>D43*$F$43/100</f>
        <v>89.41200000000002</v>
      </c>
      <c r="H43" s="124">
        <f>E43*F43/100</f>
        <v>92.50049999999997</v>
      </c>
      <c r="I43" s="127">
        <f>G43+H43</f>
        <v>181.9125</v>
      </c>
      <c r="J43" s="90"/>
      <c r="K43" s="90"/>
      <c r="L43" s="90"/>
      <c r="M43" s="90"/>
      <c r="N43" s="90"/>
    </row>
    <row r="44" spans="1:14" ht="15">
      <c r="A44" s="24"/>
      <c r="B44" s="108" t="s">
        <v>252</v>
      </c>
      <c r="C44" s="128" t="s">
        <v>245</v>
      </c>
      <c r="D44" s="129">
        <f>SUM(D38:D43)</f>
        <v>368.05199999999996</v>
      </c>
      <c r="E44" s="129">
        <f>SUM(E38:E43)</f>
        <v>312.84</v>
      </c>
      <c r="F44" s="130"/>
      <c r="G44" s="131">
        <f>SUM(G38:G43)</f>
        <v>604.3714</v>
      </c>
      <c r="H44" s="131">
        <f>SUM(H38:H43)</f>
        <v>586.4728</v>
      </c>
      <c r="I44" s="129">
        <f>SUM(I38:I43)</f>
        <v>1190.8442</v>
      </c>
      <c r="J44" s="90"/>
      <c r="K44" s="132"/>
      <c r="L44" s="132"/>
      <c r="M44" s="90"/>
      <c r="N44" s="90"/>
    </row>
    <row r="45" spans="1:14" ht="15">
      <c r="A45" s="24"/>
      <c r="B45" s="120" t="s">
        <v>129</v>
      </c>
      <c r="C45" s="189"/>
      <c r="D45" s="120"/>
      <c r="E45" s="28"/>
      <c r="F45" s="133"/>
      <c r="G45" s="120"/>
      <c r="H45" s="120"/>
      <c r="I45" s="127"/>
      <c r="J45" s="90"/>
      <c r="K45" s="90"/>
      <c r="L45" s="90"/>
      <c r="M45" s="90"/>
      <c r="N45" s="90"/>
    </row>
    <row r="46" spans="1:14" ht="15">
      <c r="A46" s="24"/>
      <c r="B46" s="120" t="s">
        <v>253</v>
      </c>
      <c r="C46" s="89" t="s">
        <v>245</v>
      </c>
      <c r="D46" s="134">
        <f>H18</f>
        <v>135.549</v>
      </c>
      <c r="E46" s="135">
        <f>H31</f>
        <v>147.17300000000003</v>
      </c>
      <c r="F46" s="133">
        <v>350</v>
      </c>
      <c r="G46" s="120">
        <f>F46*D46/100</f>
        <v>474.42150000000004</v>
      </c>
      <c r="H46" s="124">
        <f>E46*F46/100</f>
        <v>515.1055000000001</v>
      </c>
      <c r="I46" s="127">
        <f>G46+H46</f>
        <v>989.5270000000002</v>
      </c>
      <c r="J46" s="90"/>
      <c r="K46" s="90"/>
      <c r="L46" s="90"/>
      <c r="M46" s="90"/>
      <c r="N46" s="90"/>
    </row>
    <row r="47" spans="1:14" ht="15">
      <c r="A47" s="24"/>
      <c r="B47" s="120" t="s">
        <v>254</v>
      </c>
      <c r="C47" s="89" t="s">
        <v>245</v>
      </c>
      <c r="D47" s="134">
        <f>I18</f>
        <v>146.63500000000002</v>
      </c>
      <c r="E47" s="135">
        <f>I31</f>
        <v>119.291</v>
      </c>
      <c r="F47" s="133">
        <v>270</v>
      </c>
      <c r="G47" s="124">
        <f>D47*$F$47/100</f>
        <v>395.91450000000003</v>
      </c>
      <c r="H47" s="124">
        <f>E47*F47/100</f>
        <v>322.0857</v>
      </c>
      <c r="I47" s="127">
        <f>G47+H47</f>
        <v>718.0002</v>
      </c>
      <c r="J47" s="90"/>
      <c r="K47" s="90"/>
      <c r="L47" s="90"/>
      <c r="M47" s="90"/>
      <c r="N47" s="90"/>
    </row>
    <row r="48" spans="1:14" ht="15">
      <c r="A48" s="24"/>
      <c r="B48" s="108" t="s">
        <v>255</v>
      </c>
      <c r="C48" s="128" t="s">
        <v>245</v>
      </c>
      <c r="D48" s="136">
        <f>SUM(D46:D47)</f>
        <v>282.184</v>
      </c>
      <c r="E48" s="136">
        <f>SUM(E46:E47)</f>
        <v>266.46400000000006</v>
      </c>
      <c r="F48" s="137"/>
      <c r="G48" s="131">
        <f>SUM(G46:G47)</f>
        <v>870.336</v>
      </c>
      <c r="H48" s="131">
        <f>SUM(H46:H47)</f>
        <v>837.1912000000001</v>
      </c>
      <c r="I48" s="129">
        <f>SUM(I46:I47)</f>
        <v>1707.5272</v>
      </c>
      <c r="J48" s="90"/>
      <c r="K48" s="90"/>
      <c r="L48" s="90"/>
      <c r="M48" s="90"/>
      <c r="N48" s="90"/>
    </row>
    <row r="49" spans="1:14" ht="15">
      <c r="A49" s="24"/>
      <c r="B49" s="133" t="s">
        <v>256</v>
      </c>
      <c r="C49" s="138"/>
      <c r="D49" s="28"/>
      <c r="E49" s="120"/>
      <c r="F49" s="133"/>
      <c r="G49" s="120"/>
      <c r="H49" s="120"/>
      <c r="I49" s="127"/>
      <c r="J49" s="90"/>
      <c r="K49" s="90"/>
      <c r="L49" s="90"/>
      <c r="M49" s="90"/>
      <c r="N49" s="90"/>
    </row>
    <row r="50" spans="1:14" ht="15">
      <c r="A50" s="24"/>
      <c r="B50" s="133" t="s">
        <v>257</v>
      </c>
      <c r="C50" s="138" t="s">
        <v>258</v>
      </c>
      <c r="D50" s="135">
        <f>J18</f>
        <v>136</v>
      </c>
      <c r="E50" s="134">
        <f>J31</f>
        <v>113</v>
      </c>
      <c r="F50" s="133">
        <v>3.1</v>
      </c>
      <c r="G50" s="120">
        <f aca="true" t="shared" si="2" ref="G50:G55">F50*D50</f>
        <v>421.6</v>
      </c>
      <c r="H50" s="120">
        <f aca="true" t="shared" si="3" ref="H50:H55">E50*F50</f>
        <v>350.3</v>
      </c>
      <c r="I50" s="127">
        <f aca="true" t="shared" si="4" ref="I50:I55">G50+H50</f>
        <v>771.9000000000001</v>
      </c>
      <c r="J50" s="90"/>
      <c r="K50" s="90"/>
      <c r="L50" s="90"/>
      <c r="M50" s="90"/>
      <c r="N50" s="90"/>
    </row>
    <row r="51" spans="1:14" ht="15">
      <c r="A51" s="24"/>
      <c r="B51" s="133" t="s">
        <v>259</v>
      </c>
      <c r="C51" s="138" t="s">
        <v>258</v>
      </c>
      <c r="D51" s="139">
        <f>K18</f>
        <v>1586</v>
      </c>
      <c r="E51" s="140">
        <f>K31</f>
        <v>1175</v>
      </c>
      <c r="F51" s="133">
        <v>2.3</v>
      </c>
      <c r="G51" s="120">
        <f t="shared" si="2"/>
        <v>3647.7999999999997</v>
      </c>
      <c r="H51" s="120">
        <f t="shared" si="3"/>
        <v>2702.5</v>
      </c>
      <c r="I51" s="127">
        <f t="shared" si="4"/>
        <v>6350.299999999999</v>
      </c>
      <c r="J51" s="90"/>
      <c r="K51" s="90"/>
      <c r="L51" s="90"/>
      <c r="M51" s="90"/>
      <c r="N51" s="90"/>
    </row>
    <row r="52" spans="1:14" ht="15">
      <c r="A52" s="24"/>
      <c r="B52" s="133" t="s">
        <v>260</v>
      </c>
      <c r="C52" s="138" t="s">
        <v>258</v>
      </c>
      <c r="D52" s="28">
        <v>1</v>
      </c>
      <c r="E52" s="120"/>
      <c r="F52" s="141">
        <v>26</v>
      </c>
      <c r="G52" s="120">
        <f t="shared" si="2"/>
        <v>26</v>
      </c>
      <c r="H52" s="120">
        <f t="shared" si="3"/>
        <v>0</v>
      </c>
      <c r="I52" s="127">
        <f t="shared" si="4"/>
        <v>26</v>
      </c>
      <c r="J52" s="90"/>
      <c r="K52" s="90"/>
      <c r="L52" s="90"/>
      <c r="M52" s="90"/>
      <c r="N52" s="90"/>
    </row>
    <row r="53" spans="1:14" ht="15">
      <c r="A53" s="24"/>
      <c r="B53" s="133" t="s">
        <v>261</v>
      </c>
      <c r="C53" s="138" t="s">
        <v>258</v>
      </c>
      <c r="D53" s="135">
        <f>L18</f>
        <v>7</v>
      </c>
      <c r="E53" s="134">
        <f>L31</f>
        <v>4</v>
      </c>
      <c r="F53" s="133">
        <v>2.5</v>
      </c>
      <c r="G53" s="120">
        <f t="shared" si="2"/>
        <v>17.5</v>
      </c>
      <c r="H53" s="120">
        <f t="shared" si="3"/>
        <v>10</v>
      </c>
      <c r="I53" s="127">
        <f t="shared" si="4"/>
        <v>27.5</v>
      </c>
      <c r="J53" s="90"/>
      <c r="K53" s="90"/>
      <c r="L53" s="90"/>
      <c r="M53" s="90"/>
      <c r="N53" s="90"/>
    </row>
    <row r="54" spans="1:14" ht="15">
      <c r="A54" s="24"/>
      <c r="B54" s="133" t="s">
        <v>262</v>
      </c>
      <c r="C54" s="138" t="s">
        <v>258</v>
      </c>
      <c r="D54" s="135">
        <f>M18</f>
        <v>90</v>
      </c>
      <c r="E54" s="134">
        <f>M31</f>
        <v>59</v>
      </c>
      <c r="F54" s="133">
        <v>2.3</v>
      </c>
      <c r="G54" s="120">
        <f t="shared" si="2"/>
        <v>206.99999999999997</v>
      </c>
      <c r="H54" s="120">
        <f t="shared" si="3"/>
        <v>135.7</v>
      </c>
      <c r="I54" s="127">
        <f t="shared" si="4"/>
        <v>342.69999999999993</v>
      </c>
      <c r="J54" s="90"/>
      <c r="K54" s="90"/>
      <c r="L54" s="90"/>
      <c r="M54" s="90"/>
      <c r="N54" s="90"/>
    </row>
    <row r="55" spans="1:14" ht="15">
      <c r="A55" s="24"/>
      <c r="B55" s="133" t="s">
        <v>263</v>
      </c>
      <c r="C55" s="99" t="s">
        <v>258</v>
      </c>
      <c r="D55" s="135">
        <f>N18</f>
        <v>179</v>
      </c>
      <c r="E55" s="134">
        <f>N31</f>
        <v>147</v>
      </c>
      <c r="F55" s="142">
        <v>3</v>
      </c>
      <c r="G55" s="120">
        <f t="shared" si="2"/>
        <v>537</v>
      </c>
      <c r="H55" s="120">
        <f t="shared" si="3"/>
        <v>441</v>
      </c>
      <c r="I55" s="127">
        <f t="shared" si="4"/>
        <v>978</v>
      </c>
      <c r="J55" s="90"/>
      <c r="K55" s="90"/>
      <c r="L55" s="90"/>
      <c r="M55" s="90"/>
      <c r="N55" s="90"/>
    </row>
    <row r="56" spans="1:14" ht="15">
      <c r="A56" s="24"/>
      <c r="B56" s="108" t="s">
        <v>264</v>
      </c>
      <c r="C56" s="143"/>
      <c r="D56" s="144"/>
      <c r="E56" s="129"/>
      <c r="F56" s="144"/>
      <c r="G56" s="131">
        <f>SUM(G50:G55)</f>
        <v>4856.9</v>
      </c>
      <c r="H56" s="131">
        <f>SUM(H50:H55)</f>
        <v>3639.5</v>
      </c>
      <c r="I56" s="129">
        <f>SUM(I50:I55)</f>
        <v>8496.399999999998</v>
      </c>
      <c r="J56" s="90"/>
      <c r="K56" s="90"/>
      <c r="L56" s="90"/>
      <c r="M56" s="90"/>
      <c r="N56" s="145"/>
    </row>
    <row r="57" spans="1:14" ht="15">
      <c r="A57" s="113"/>
      <c r="B57" s="146" t="s">
        <v>265</v>
      </c>
      <c r="C57" s="147"/>
      <c r="D57" s="148"/>
      <c r="E57" s="146"/>
      <c r="F57" s="148"/>
      <c r="G57" s="149">
        <f>G56+G48+G44</f>
        <v>6331.6074</v>
      </c>
      <c r="H57" s="149">
        <f>H56+H48+H44</f>
        <v>5063.164000000001</v>
      </c>
      <c r="I57" s="150">
        <f>I56+I48+I44</f>
        <v>11394.771399999998</v>
      </c>
      <c r="J57" s="117"/>
      <c r="K57" s="117"/>
      <c r="L57" s="117"/>
      <c r="M57" s="117"/>
      <c r="N57" s="117"/>
    </row>
    <row r="58" spans="1:14" ht="15">
      <c r="A58" s="24"/>
      <c r="B58" s="100"/>
      <c r="C58" s="151"/>
      <c r="D58" s="151"/>
      <c r="E58" s="151"/>
      <c r="F58" s="151"/>
      <c r="G58" s="152">
        <f>G57/$I$57</f>
        <v>0.5556590104124424</v>
      </c>
      <c r="H58" s="153">
        <f>H57/$I$57</f>
        <v>0.4443409895875578</v>
      </c>
      <c r="I58" s="153">
        <f>I57/$I$57</f>
        <v>1</v>
      </c>
      <c r="J58" s="154"/>
      <c r="K58" s="90"/>
      <c r="L58" s="90"/>
      <c r="M58" s="90"/>
      <c r="N58" s="90"/>
    </row>
    <row r="59" spans="1:14" ht="15">
      <c r="A59" s="24"/>
      <c r="B59" s="28"/>
      <c r="C59" s="28"/>
      <c r="D59" s="28"/>
      <c r="E59" s="28"/>
      <c r="F59" s="28"/>
      <c r="G59" s="155"/>
      <c r="H59" s="155"/>
      <c r="I59" s="155"/>
      <c r="J59" s="154"/>
      <c r="K59" s="90"/>
      <c r="L59" s="90"/>
      <c r="M59" s="90"/>
      <c r="N59" s="90"/>
    </row>
    <row r="60" spans="1:14" ht="18.75">
      <c r="A60" s="154" t="s">
        <v>111</v>
      </c>
      <c r="B60" s="93" t="s">
        <v>266</v>
      </c>
      <c r="C60" s="157"/>
      <c r="D60" s="157"/>
      <c r="E60" s="157"/>
      <c r="F60" s="157"/>
      <c r="G60" s="158"/>
      <c r="H60" s="158"/>
      <c r="I60" s="90"/>
      <c r="J60" s="90"/>
      <c r="K60" s="90"/>
      <c r="L60" s="90"/>
      <c r="M60" s="90"/>
      <c r="N60" s="90"/>
    </row>
    <row r="61" spans="1:14" ht="18.75">
      <c r="A61" s="154"/>
      <c r="B61" s="93" t="s">
        <v>291</v>
      </c>
      <c r="C61" s="157"/>
      <c r="D61" s="157"/>
      <c r="E61" s="157"/>
      <c r="F61" s="157"/>
      <c r="G61" s="158"/>
      <c r="H61" s="158"/>
      <c r="I61" s="90"/>
      <c r="J61" s="90"/>
      <c r="K61" s="90"/>
      <c r="L61" s="90"/>
      <c r="M61" s="90"/>
      <c r="N61" s="90"/>
    </row>
    <row r="62" spans="1:14" ht="15">
      <c r="A62" s="154"/>
      <c r="B62" s="240" t="s">
        <v>235</v>
      </c>
      <c r="C62" s="115" t="s">
        <v>236</v>
      </c>
      <c r="D62" s="242" t="s">
        <v>237</v>
      </c>
      <c r="E62" s="243"/>
      <c r="F62" s="116" t="s">
        <v>238</v>
      </c>
      <c r="G62" s="232" t="s">
        <v>239</v>
      </c>
      <c r="H62" s="233"/>
      <c r="I62" s="116" t="s">
        <v>240</v>
      </c>
      <c r="J62" s="252"/>
      <c r="K62" s="154"/>
      <c r="L62" s="90"/>
      <c r="M62" s="90"/>
      <c r="N62" s="90"/>
    </row>
    <row r="63" spans="1:14" ht="15">
      <c r="A63" s="154"/>
      <c r="B63" s="241"/>
      <c r="C63" s="118" t="s">
        <v>241</v>
      </c>
      <c r="D63" s="97" t="s">
        <v>242</v>
      </c>
      <c r="E63" s="118" t="s">
        <v>142</v>
      </c>
      <c r="F63" s="98" t="s">
        <v>243</v>
      </c>
      <c r="G63" s="97" t="s">
        <v>242</v>
      </c>
      <c r="H63" s="118" t="s">
        <v>142</v>
      </c>
      <c r="I63" s="100"/>
      <c r="J63" s="252"/>
      <c r="K63" s="154"/>
      <c r="L63" s="90"/>
      <c r="M63" s="90"/>
      <c r="N63" s="90"/>
    </row>
    <row r="64" spans="1:14" ht="15">
      <c r="A64" s="154"/>
      <c r="B64" s="100" t="s">
        <v>106</v>
      </c>
      <c r="C64" s="97"/>
      <c r="D64" s="100"/>
      <c r="E64" s="100"/>
      <c r="F64" s="25"/>
      <c r="G64" s="100"/>
      <c r="H64" s="100"/>
      <c r="I64" s="100"/>
      <c r="J64" s="154"/>
      <c r="K64" s="154"/>
      <c r="L64" s="90"/>
      <c r="M64" s="90"/>
      <c r="N64" s="90"/>
    </row>
    <row r="65" spans="1:14" ht="15">
      <c r="A65" s="154"/>
      <c r="B65" s="100" t="s">
        <v>244</v>
      </c>
      <c r="C65" s="97" t="s">
        <v>245</v>
      </c>
      <c r="D65" s="165"/>
      <c r="E65" s="165"/>
      <c r="F65" s="165"/>
      <c r="G65" s="165"/>
      <c r="H65" s="165"/>
      <c r="I65" s="100"/>
      <c r="J65" s="154"/>
      <c r="K65" s="154"/>
      <c r="L65" s="90"/>
      <c r="M65" s="90"/>
      <c r="N65" s="90"/>
    </row>
    <row r="66" spans="1:14" ht="15">
      <c r="A66" s="154"/>
      <c r="B66" s="100" t="s">
        <v>246</v>
      </c>
      <c r="C66" s="97" t="s">
        <v>245</v>
      </c>
      <c r="D66" s="173"/>
      <c r="E66" s="173"/>
      <c r="F66" s="165">
        <v>140</v>
      </c>
      <c r="G66" s="165">
        <f>D66*$F$38/100</f>
        <v>0</v>
      </c>
      <c r="H66" s="165">
        <f>E66*F66/100</f>
        <v>0</v>
      </c>
      <c r="I66" s="165">
        <f>G66+H66</f>
        <v>0</v>
      </c>
      <c r="J66" s="154"/>
      <c r="K66" s="154"/>
      <c r="L66" s="90"/>
      <c r="M66" s="90"/>
      <c r="N66" s="90"/>
    </row>
    <row r="67" spans="1:14" ht="21" customHeight="1">
      <c r="A67" s="154"/>
      <c r="B67" s="100" t="s">
        <v>247</v>
      </c>
      <c r="C67" s="97" t="s">
        <v>245</v>
      </c>
      <c r="D67" s="172">
        <f>4.33+0.835</f>
        <v>5.165</v>
      </c>
      <c r="E67" s="173"/>
      <c r="F67" s="165">
        <v>110</v>
      </c>
      <c r="G67" s="165">
        <f>D67*F67/100</f>
        <v>5.6815</v>
      </c>
      <c r="H67" s="165">
        <f>E67*F67/100</f>
        <v>0</v>
      </c>
      <c r="I67" s="166">
        <f>G67+H67</f>
        <v>5.6815</v>
      </c>
      <c r="J67" s="202"/>
      <c r="K67" s="154"/>
      <c r="L67" s="90"/>
      <c r="M67" s="90"/>
      <c r="N67" s="90"/>
    </row>
    <row r="68" spans="1:14" ht="15">
      <c r="A68" s="154"/>
      <c r="B68" s="100" t="s">
        <v>248</v>
      </c>
      <c r="C68" s="97" t="s">
        <v>245</v>
      </c>
      <c r="D68" s="173"/>
      <c r="E68" s="173"/>
      <c r="F68" s="165"/>
      <c r="G68" s="165"/>
      <c r="H68" s="165"/>
      <c r="I68" s="165"/>
      <c r="J68" s="154"/>
      <c r="K68" s="154"/>
      <c r="L68" s="90"/>
      <c r="M68" s="90"/>
      <c r="N68" s="90"/>
    </row>
    <row r="69" spans="1:14" ht="15">
      <c r="A69" s="154"/>
      <c r="B69" s="100" t="s">
        <v>249</v>
      </c>
      <c r="C69" s="97" t="s">
        <v>245</v>
      </c>
      <c r="D69" s="173"/>
      <c r="E69" s="173"/>
      <c r="F69" s="165">
        <v>260</v>
      </c>
      <c r="G69" s="165">
        <f>D69*F69/100</f>
        <v>0</v>
      </c>
      <c r="H69" s="165">
        <f>E69*F69/100</f>
        <v>0</v>
      </c>
      <c r="I69" s="165">
        <f>G69+H69</f>
        <v>0</v>
      </c>
      <c r="J69" s="154"/>
      <c r="K69" s="154"/>
      <c r="L69" s="90"/>
      <c r="M69" s="90"/>
      <c r="N69" s="90"/>
    </row>
    <row r="70" spans="1:14" ht="15">
      <c r="A70" s="154"/>
      <c r="B70" s="100" t="s">
        <v>250</v>
      </c>
      <c r="C70" s="97" t="s">
        <v>245</v>
      </c>
      <c r="D70" s="173"/>
      <c r="E70" s="173"/>
      <c r="F70" s="165">
        <v>220</v>
      </c>
      <c r="G70" s="165">
        <f>D70*F70/100</f>
        <v>0</v>
      </c>
      <c r="H70" s="165">
        <f>E70*F70/100</f>
        <v>0</v>
      </c>
      <c r="I70" s="165">
        <f>G70+H70</f>
        <v>0</v>
      </c>
      <c r="J70" s="154"/>
      <c r="K70" s="154"/>
      <c r="L70" s="90"/>
      <c r="M70" s="90"/>
      <c r="N70" s="90"/>
    </row>
    <row r="71" spans="1:14" ht="19.5" customHeight="1">
      <c r="A71" s="154"/>
      <c r="B71" s="100" t="s">
        <v>251</v>
      </c>
      <c r="C71" s="97" t="s">
        <v>245</v>
      </c>
      <c r="D71" s="174"/>
      <c r="E71" s="174">
        <f>3.385+4.827</f>
        <v>8.212</v>
      </c>
      <c r="F71" s="165">
        <v>150</v>
      </c>
      <c r="G71" s="165">
        <f>D71*$F$43/100</f>
        <v>0</v>
      </c>
      <c r="H71" s="165">
        <f>E71*F71/100</f>
        <v>12.318</v>
      </c>
      <c r="I71" s="166">
        <f>G71+H71</f>
        <v>12.318</v>
      </c>
      <c r="J71" s="202"/>
      <c r="K71" s="154"/>
      <c r="L71" s="90"/>
      <c r="M71" s="90"/>
      <c r="N71" s="90"/>
    </row>
    <row r="72" spans="1:14" ht="15">
      <c r="A72" s="154"/>
      <c r="B72" s="108" t="s">
        <v>252</v>
      </c>
      <c r="C72" s="97" t="s">
        <v>245</v>
      </c>
      <c r="D72" s="175">
        <f>SUM(D66:D71)</f>
        <v>5.165</v>
      </c>
      <c r="E72" s="175">
        <f>SUM(E66:E71)</f>
        <v>8.212</v>
      </c>
      <c r="F72" s="100"/>
      <c r="G72" s="131">
        <f>SUM(G66:G71)</f>
        <v>5.6815</v>
      </c>
      <c r="H72" s="131">
        <f>SUM(H66:H71)</f>
        <v>12.318</v>
      </c>
      <c r="I72" s="131">
        <f>SUM(I66:I71)</f>
        <v>17.999499999999998</v>
      </c>
      <c r="J72" s="154"/>
      <c r="K72" s="154"/>
      <c r="L72" s="90"/>
      <c r="M72" s="90"/>
      <c r="N72" s="90"/>
    </row>
    <row r="73" spans="1:14" ht="15">
      <c r="A73" s="154"/>
      <c r="B73" s="100" t="s">
        <v>129</v>
      </c>
      <c r="C73" s="26"/>
      <c r="D73" s="176"/>
      <c r="E73" s="176"/>
      <c r="F73" s="100"/>
      <c r="G73" s="100"/>
      <c r="H73" s="100"/>
      <c r="I73" s="165"/>
      <c r="J73" s="154"/>
      <c r="K73" s="154"/>
      <c r="L73" s="90"/>
      <c r="M73" s="90"/>
      <c r="N73" s="90"/>
    </row>
    <row r="74" spans="1:14" ht="13.5" customHeight="1">
      <c r="A74" s="154"/>
      <c r="B74" s="100" t="s">
        <v>292</v>
      </c>
      <c r="C74" s="97" t="s">
        <v>245</v>
      </c>
      <c r="D74" s="177">
        <v>3.65</v>
      </c>
      <c r="E74" s="180"/>
      <c r="F74" s="100">
        <v>350</v>
      </c>
      <c r="G74" s="100">
        <f>F74*D74/100</f>
        <v>12.775</v>
      </c>
      <c r="H74" s="165">
        <f>E74*F74/100</f>
        <v>0</v>
      </c>
      <c r="I74" s="165">
        <f>G74+H74</f>
        <v>12.775</v>
      </c>
      <c r="J74" s="202"/>
      <c r="K74" s="154"/>
      <c r="L74" s="90"/>
      <c r="M74" s="90"/>
      <c r="N74" s="90"/>
    </row>
    <row r="75" spans="1:14" ht="15">
      <c r="A75" s="154"/>
      <c r="B75" s="100" t="s">
        <v>279</v>
      </c>
      <c r="C75" s="97"/>
      <c r="D75" s="178"/>
      <c r="E75" s="178">
        <f>0.2+0.18</f>
        <v>0.38</v>
      </c>
      <c r="F75" s="100">
        <v>270</v>
      </c>
      <c r="G75" s="165">
        <f>D75*$F$47/100</f>
        <v>0</v>
      </c>
      <c r="H75" s="165">
        <f>E75*F75/100</f>
        <v>1.026</v>
      </c>
      <c r="I75" s="165">
        <f>G75+H75</f>
        <v>1.026</v>
      </c>
      <c r="J75" s="202"/>
      <c r="K75" s="154"/>
      <c r="L75" s="90"/>
      <c r="M75" s="90"/>
      <c r="N75" s="90"/>
    </row>
    <row r="76" spans="1:14" ht="15">
      <c r="A76" s="154"/>
      <c r="B76" s="108" t="s">
        <v>255</v>
      </c>
      <c r="C76" s="97" t="s">
        <v>245</v>
      </c>
      <c r="D76" s="179">
        <f>SUM(D74:D75)</f>
        <v>3.65</v>
      </c>
      <c r="E76" s="179">
        <f>SUM(E74:E75)</f>
        <v>0.38</v>
      </c>
      <c r="F76" s="108"/>
      <c r="G76" s="131">
        <f>SUM(G74:G75)</f>
        <v>12.775</v>
      </c>
      <c r="H76" s="131">
        <f>SUM(H74:H75)</f>
        <v>1.026</v>
      </c>
      <c r="I76" s="131">
        <f>SUM(I74:I75)</f>
        <v>13.801</v>
      </c>
      <c r="J76" s="154"/>
      <c r="K76" s="154"/>
      <c r="L76" s="90"/>
      <c r="M76" s="90"/>
      <c r="N76" s="90"/>
    </row>
    <row r="77" spans="1:14" ht="15">
      <c r="A77" s="154"/>
      <c r="B77" s="108" t="s">
        <v>256</v>
      </c>
      <c r="C77" s="97"/>
      <c r="D77" s="176"/>
      <c r="E77" s="176"/>
      <c r="F77" s="100"/>
      <c r="G77" s="100"/>
      <c r="H77" s="100"/>
      <c r="I77" s="165"/>
      <c r="J77" s="154"/>
      <c r="K77" s="154"/>
      <c r="L77" s="90"/>
      <c r="M77" s="90"/>
      <c r="N77" s="90"/>
    </row>
    <row r="78" spans="1:14" ht="15">
      <c r="A78" s="154"/>
      <c r="B78" s="100" t="s">
        <v>257</v>
      </c>
      <c r="C78" s="97" t="s">
        <v>258</v>
      </c>
      <c r="D78" s="201">
        <v>14</v>
      </c>
      <c r="E78" s="180"/>
      <c r="F78" s="100">
        <v>3.1</v>
      </c>
      <c r="G78" s="100">
        <f aca="true" t="shared" si="5" ref="G78:G84">F78*D78</f>
        <v>43.4</v>
      </c>
      <c r="H78" s="100">
        <f aca="true" t="shared" si="6" ref="H78:H84">E78*F78</f>
        <v>0</v>
      </c>
      <c r="I78" s="165">
        <f aca="true" t="shared" si="7" ref="I78:I84">G78+H78</f>
        <v>43.4</v>
      </c>
      <c r="J78" s="154"/>
      <c r="K78" s="154"/>
      <c r="L78" s="90"/>
      <c r="M78" s="90"/>
      <c r="N78" s="90"/>
    </row>
    <row r="79" spans="1:14" ht="15">
      <c r="A79" s="154"/>
      <c r="B79" s="100" t="s">
        <v>259</v>
      </c>
      <c r="C79" s="97" t="s">
        <v>258</v>
      </c>
      <c r="D79" s="181">
        <v>19</v>
      </c>
      <c r="E79" s="181"/>
      <c r="F79" s="100">
        <v>2.3</v>
      </c>
      <c r="G79" s="100">
        <f>F79*D79/100</f>
        <v>0.43699999999999994</v>
      </c>
      <c r="H79" s="100">
        <f t="shared" si="6"/>
        <v>0</v>
      </c>
      <c r="I79" s="165">
        <f t="shared" si="7"/>
        <v>0.43699999999999994</v>
      </c>
      <c r="J79" s="154"/>
      <c r="K79" s="154"/>
      <c r="L79" s="90"/>
      <c r="M79" s="90"/>
      <c r="N79" s="90"/>
    </row>
    <row r="80" spans="1:14" ht="15">
      <c r="A80" s="154"/>
      <c r="B80" s="100" t="s">
        <v>260</v>
      </c>
      <c r="C80" s="97" t="s">
        <v>258</v>
      </c>
      <c r="D80" s="176"/>
      <c r="E80" s="176"/>
      <c r="F80" s="107">
        <v>26</v>
      </c>
      <c r="G80" s="100">
        <f t="shared" si="5"/>
        <v>0</v>
      </c>
      <c r="H80" s="100">
        <f t="shared" si="6"/>
        <v>0</v>
      </c>
      <c r="I80" s="165">
        <f t="shared" si="7"/>
        <v>0</v>
      </c>
      <c r="J80" s="154"/>
      <c r="K80" s="154"/>
      <c r="L80" s="90"/>
      <c r="M80" s="90"/>
      <c r="N80" s="90"/>
    </row>
    <row r="81" spans="1:14" ht="15">
      <c r="A81" s="154"/>
      <c r="B81" s="100" t="s">
        <v>280</v>
      </c>
      <c r="C81" s="97" t="s">
        <v>258</v>
      </c>
      <c r="D81" s="176">
        <v>9</v>
      </c>
      <c r="E81" s="176"/>
      <c r="F81" s="107">
        <v>1</v>
      </c>
      <c r="G81" s="100">
        <f>F81*D81/100</f>
        <v>0.09</v>
      </c>
      <c r="H81" s="100">
        <f>E81*F81</f>
        <v>0</v>
      </c>
      <c r="I81" s="166">
        <f>G81+H81</f>
        <v>0.09</v>
      </c>
      <c r="J81" s="154"/>
      <c r="K81" s="154"/>
      <c r="L81" s="90"/>
      <c r="M81" s="90"/>
      <c r="N81" s="90"/>
    </row>
    <row r="82" spans="1:14" ht="15">
      <c r="A82" s="154"/>
      <c r="B82" s="100" t="s">
        <v>281</v>
      </c>
      <c r="C82" s="97" t="s">
        <v>258</v>
      </c>
      <c r="D82" s="180">
        <v>2</v>
      </c>
      <c r="E82" s="180"/>
      <c r="F82" s="100">
        <v>2.5</v>
      </c>
      <c r="G82" s="100">
        <f t="shared" si="5"/>
        <v>5</v>
      </c>
      <c r="H82" s="100">
        <f t="shared" si="6"/>
        <v>0</v>
      </c>
      <c r="I82" s="165">
        <f t="shared" si="7"/>
        <v>5</v>
      </c>
      <c r="J82" s="154"/>
      <c r="K82" s="154"/>
      <c r="L82" s="90"/>
      <c r="M82" s="90"/>
      <c r="N82" s="90"/>
    </row>
    <row r="83" spans="1:14" ht="18" customHeight="1">
      <c r="A83" s="154"/>
      <c r="B83" s="100" t="s">
        <v>282</v>
      </c>
      <c r="C83" s="97" t="s">
        <v>258</v>
      </c>
      <c r="D83" s="180">
        <v>5</v>
      </c>
      <c r="E83" s="180"/>
      <c r="F83" s="100">
        <v>2.3</v>
      </c>
      <c r="G83" s="100">
        <f>F83*D83</f>
        <v>11.5</v>
      </c>
      <c r="H83" s="100">
        <f>E83*F83</f>
        <v>0</v>
      </c>
      <c r="I83" s="165">
        <f>G83+H83</f>
        <v>11.5</v>
      </c>
      <c r="J83" s="202"/>
      <c r="K83" s="154"/>
      <c r="L83" s="90"/>
      <c r="M83" s="90"/>
      <c r="N83" s="90"/>
    </row>
    <row r="84" spans="1:14" ht="15">
      <c r="A84" s="154"/>
      <c r="B84" s="100" t="s">
        <v>293</v>
      </c>
      <c r="C84" s="97" t="s">
        <v>258</v>
      </c>
      <c r="D84" s="180">
        <v>4</v>
      </c>
      <c r="E84" s="180"/>
      <c r="F84" s="107">
        <v>3</v>
      </c>
      <c r="G84" s="100">
        <f t="shared" si="5"/>
        <v>12</v>
      </c>
      <c r="H84" s="100">
        <f t="shared" si="6"/>
        <v>0</v>
      </c>
      <c r="I84" s="165">
        <f t="shared" si="7"/>
        <v>12</v>
      </c>
      <c r="J84" s="202"/>
      <c r="K84" s="154"/>
      <c r="L84" s="90"/>
      <c r="M84" s="90"/>
      <c r="N84" s="90"/>
    </row>
    <row r="85" spans="1:14" ht="15">
      <c r="A85" s="154"/>
      <c r="B85" s="108" t="s">
        <v>264</v>
      </c>
      <c r="C85" s="168"/>
      <c r="D85" s="175"/>
      <c r="E85" s="175"/>
      <c r="F85" s="129"/>
      <c r="G85" s="131">
        <f>SUM(G78:G84)</f>
        <v>72.42699999999999</v>
      </c>
      <c r="H85" s="131">
        <f>SUM(H78:H84)</f>
        <v>0</v>
      </c>
      <c r="I85" s="129">
        <f>SUM(I78:I84)</f>
        <v>72.42699999999999</v>
      </c>
      <c r="J85" s="154"/>
      <c r="K85" s="154"/>
      <c r="L85" s="90"/>
      <c r="M85" s="90"/>
      <c r="N85" s="90"/>
    </row>
    <row r="86" spans="1:14" ht="15">
      <c r="A86" s="154"/>
      <c r="B86" s="146" t="s">
        <v>265</v>
      </c>
      <c r="C86" s="146"/>
      <c r="D86" s="146"/>
      <c r="E86" s="146"/>
      <c r="F86" s="146"/>
      <c r="G86" s="169">
        <f>G85+G76+G72</f>
        <v>90.8835</v>
      </c>
      <c r="H86" s="169">
        <f>H85+H76+H72</f>
        <v>13.344</v>
      </c>
      <c r="I86" s="169">
        <f>I85+I76+I72</f>
        <v>104.22749999999999</v>
      </c>
      <c r="J86" s="154"/>
      <c r="K86" s="154"/>
      <c r="L86" s="90"/>
      <c r="M86" s="90"/>
      <c r="N86" s="90"/>
    </row>
    <row r="87" spans="1:14" ht="15">
      <c r="A87" s="159"/>
      <c r="B87" s="90"/>
      <c r="C87" s="90"/>
      <c r="D87" s="90"/>
      <c r="E87" s="90"/>
      <c r="F87" s="90"/>
      <c r="G87" s="90"/>
      <c r="H87" s="90"/>
      <c r="I87" s="90"/>
      <c r="J87" s="90"/>
      <c r="K87" s="90"/>
      <c r="L87" s="90"/>
      <c r="M87" s="90"/>
      <c r="N87" s="90"/>
    </row>
    <row r="88" spans="1:14" ht="18.75">
      <c r="A88" s="159" t="s">
        <v>112</v>
      </c>
      <c r="B88" s="93" t="s">
        <v>289</v>
      </c>
      <c r="C88" s="94"/>
      <c r="D88" s="192"/>
      <c r="E88" s="192"/>
      <c r="F88" s="28"/>
      <c r="G88" s="192"/>
      <c r="H88" s="192"/>
      <c r="I88" s="192"/>
      <c r="J88" s="90"/>
      <c r="K88" s="90"/>
      <c r="L88" s="90"/>
      <c r="M88" s="90"/>
      <c r="N88" s="90"/>
    </row>
    <row r="89" spans="1:14" ht="15">
      <c r="A89" s="95" t="s">
        <v>190</v>
      </c>
      <c r="B89" s="96" t="s">
        <v>191</v>
      </c>
      <c r="C89" s="234" t="s">
        <v>194</v>
      </c>
      <c r="D89" s="235"/>
      <c r="E89" s="236" t="s">
        <v>195</v>
      </c>
      <c r="F89" s="236"/>
      <c r="G89" s="236"/>
      <c r="H89" s="237"/>
      <c r="I89" s="237"/>
      <c r="J89" s="90"/>
      <c r="K89" s="90"/>
      <c r="L89" s="90"/>
      <c r="M89" s="90"/>
      <c r="N89" s="90"/>
    </row>
    <row r="90" spans="1:14" ht="15">
      <c r="A90" s="98" t="s">
        <v>196</v>
      </c>
      <c r="B90" s="99" t="s">
        <v>197</v>
      </c>
      <c r="C90" s="27" t="s">
        <v>200</v>
      </c>
      <c r="D90" s="27" t="s">
        <v>200</v>
      </c>
      <c r="E90" s="27" t="s">
        <v>201</v>
      </c>
      <c r="F90" s="27" t="s">
        <v>202</v>
      </c>
      <c r="G90" s="27" t="s">
        <v>203</v>
      </c>
      <c r="H90" s="94"/>
      <c r="I90" s="94"/>
      <c r="J90" s="90"/>
      <c r="K90" s="90"/>
      <c r="L90" s="90"/>
      <c r="M90" s="90"/>
      <c r="N90" s="90"/>
    </row>
    <row r="91" spans="1:14" ht="15">
      <c r="A91" s="99"/>
      <c r="B91" s="99"/>
      <c r="C91" s="27" t="s">
        <v>207</v>
      </c>
      <c r="D91" s="27" t="s">
        <v>208</v>
      </c>
      <c r="E91" s="27" t="s">
        <v>209</v>
      </c>
      <c r="F91" s="27" t="s">
        <v>209</v>
      </c>
      <c r="G91" s="27" t="s">
        <v>209</v>
      </c>
      <c r="H91" s="28"/>
      <c r="I91" s="28"/>
      <c r="J91" s="90"/>
      <c r="K91" s="90"/>
      <c r="L91" s="90"/>
      <c r="M91" s="90"/>
      <c r="N91" s="90"/>
    </row>
    <row r="92" spans="1:14" ht="15">
      <c r="A92" s="97"/>
      <c r="B92" s="97"/>
      <c r="C92" s="27" t="s">
        <v>212</v>
      </c>
      <c r="D92" s="27" t="s">
        <v>213</v>
      </c>
      <c r="E92" s="101"/>
      <c r="F92" s="101"/>
      <c r="G92" s="102"/>
      <c r="H92" s="28"/>
      <c r="I92" s="28"/>
      <c r="J92" s="90"/>
      <c r="K92" s="90"/>
      <c r="L92" s="90"/>
      <c r="M92" s="90"/>
      <c r="N92" s="90"/>
    </row>
    <row r="93" spans="1:14" ht="15">
      <c r="A93" s="101">
        <v>1</v>
      </c>
      <c r="B93" s="101" t="s">
        <v>227</v>
      </c>
      <c r="C93" s="101">
        <v>4</v>
      </c>
      <c r="D93" s="101">
        <v>12</v>
      </c>
      <c r="E93" s="101"/>
      <c r="F93" s="101"/>
      <c r="G93" s="101">
        <v>1</v>
      </c>
      <c r="H93" s="193"/>
      <c r="I93" s="193"/>
      <c r="J93" s="90"/>
      <c r="K93" s="90"/>
      <c r="L93" s="90"/>
      <c r="M93" s="90"/>
      <c r="N93" s="90"/>
    </row>
    <row r="94" spans="1:14" ht="15">
      <c r="A94" s="159"/>
      <c r="B94" s="110"/>
      <c r="C94" s="94"/>
      <c r="D94" s="192"/>
      <c r="E94" s="192"/>
      <c r="F94" s="28"/>
      <c r="G94" s="192"/>
      <c r="H94" s="192"/>
      <c r="I94" s="192"/>
      <c r="J94" s="90"/>
      <c r="K94" s="90"/>
      <c r="L94" s="90"/>
      <c r="M94" s="90"/>
      <c r="N94" s="90"/>
    </row>
    <row r="95" spans="1:14" ht="15">
      <c r="A95" s="159"/>
      <c r="B95" s="240" t="s">
        <v>235</v>
      </c>
      <c r="C95" s="115" t="s">
        <v>236</v>
      </c>
      <c r="D95" s="242" t="s">
        <v>237</v>
      </c>
      <c r="E95" s="243"/>
      <c r="F95" s="116" t="s">
        <v>238</v>
      </c>
      <c r="G95" s="232" t="s">
        <v>239</v>
      </c>
      <c r="H95" s="233"/>
      <c r="I95" s="114" t="s">
        <v>240</v>
      </c>
      <c r="J95" s="90"/>
      <c r="K95" s="90"/>
      <c r="L95" s="90"/>
      <c r="M95" s="90"/>
      <c r="N95" s="90"/>
    </row>
    <row r="96" spans="1:14" ht="15">
      <c r="A96" s="159"/>
      <c r="B96" s="241"/>
      <c r="C96" s="118" t="s">
        <v>241</v>
      </c>
      <c r="D96" s="118" t="s">
        <v>142</v>
      </c>
      <c r="E96" s="118" t="s">
        <v>242</v>
      </c>
      <c r="F96" s="98" t="s">
        <v>243</v>
      </c>
      <c r="G96" s="118" t="s">
        <v>142</v>
      </c>
      <c r="H96" s="118" t="s">
        <v>242</v>
      </c>
      <c r="I96" s="119"/>
      <c r="J96" s="90"/>
      <c r="K96" s="90"/>
      <c r="L96" s="90"/>
      <c r="M96" s="90"/>
      <c r="N96" s="90"/>
    </row>
    <row r="97" spans="1:14" ht="15">
      <c r="A97" s="159"/>
      <c r="B97" s="133" t="s">
        <v>256</v>
      </c>
      <c r="C97" s="138"/>
      <c r="D97" s="28"/>
      <c r="E97" s="120"/>
      <c r="F97" s="133"/>
      <c r="G97" s="120"/>
      <c r="H97" s="120"/>
      <c r="I97" s="127"/>
      <c r="J97" s="90"/>
      <c r="K97" s="90"/>
      <c r="L97" s="90"/>
      <c r="M97" s="90"/>
      <c r="N97" s="90"/>
    </row>
    <row r="98" spans="1:14" ht="15">
      <c r="A98" s="159"/>
      <c r="B98" s="133" t="s">
        <v>257</v>
      </c>
      <c r="C98" s="138" t="s">
        <v>258</v>
      </c>
      <c r="D98" s="135">
        <v>0</v>
      </c>
      <c r="E98" s="134">
        <v>4</v>
      </c>
      <c r="F98" s="133">
        <v>3.1</v>
      </c>
      <c r="G98" s="120">
        <f aca="true" t="shared" si="8" ref="G98:G103">F98*D98</f>
        <v>0</v>
      </c>
      <c r="H98" s="120">
        <f aca="true" t="shared" si="9" ref="H98:H103">E98*F98</f>
        <v>12.4</v>
      </c>
      <c r="I98" s="127">
        <f aca="true" t="shared" si="10" ref="I98:I103">G98+H98</f>
        <v>12.4</v>
      </c>
      <c r="J98" s="90"/>
      <c r="K98" s="90"/>
      <c r="L98" s="90"/>
      <c r="M98" s="90"/>
      <c r="N98" s="90"/>
    </row>
    <row r="99" spans="1:14" ht="15">
      <c r="A99" s="159"/>
      <c r="B99" s="133" t="s">
        <v>259</v>
      </c>
      <c r="C99" s="138" t="s">
        <v>258</v>
      </c>
      <c r="D99" s="139">
        <v>0</v>
      </c>
      <c r="E99" s="140">
        <v>12</v>
      </c>
      <c r="F99" s="133">
        <v>2.3</v>
      </c>
      <c r="G99" s="120">
        <f t="shared" si="8"/>
        <v>0</v>
      </c>
      <c r="H99" s="120">
        <f t="shared" si="9"/>
        <v>27.599999999999998</v>
      </c>
      <c r="I99" s="127">
        <f t="shared" si="10"/>
        <v>27.599999999999998</v>
      </c>
      <c r="J99" s="90"/>
      <c r="K99" s="90"/>
      <c r="L99" s="90"/>
      <c r="M99" s="90"/>
      <c r="N99" s="90"/>
    </row>
    <row r="100" spans="1:14" ht="15">
      <c r="A100" s="159"/>
      <c r="B100" s="133" t="s">
        <v>260</v>
      </c>
      <c r="C100" s="138" t="s">
        <v>258</v>
      </c>
      <c r="D100" s="28">
        <v>0</v>
      </c>
      <c r="E100" s="120">
        <v>0</v>
      </c>
      <c r="F100" s="141">
        <v>26</v>
      </c>
      <c r="G100" s="120">
        <f t="shared" si="8"/>
        <v>0</v>
      </c>
      <c r="H100" s="120">
        <f t="shared" si="9"/>
        <v>0</v>
      </c>
      <c r="I100" s="127">
        <f t="shared" si="10"/>
        <v>0</v>
      </c>
      <c r="J100" s="90"/>
      <c r="K100" s="90"/>
      <c r="L100" s="90"/>
      <c r="M100" s="90"/>
      <c r="N100" s="90"/>
    </row>
    <row r="101" spans="1:14" ht="15">
      <c r="A101" s="159"/>
      <c r="B101" s="133" t="s">
        <v>261</v>
      </c>
      <c r="C101" s="138" t="s">
        <v>258</v>
      </c>
      <c r="D101" s="135">
        <f>X69</f>
        <v>0</v>
      </c>
      <c r="E101" s="134">
        <f>X82</f>
        <v>0</v>
      </c>
      <c r="F101" s="133">
        <v>2.5</v>
      </c>
      <c r="G101" s="120">
        <f t="shared" si="8"/>
        <v>0</v>
      </c>
      <c r="H101" s="120">
        <f t="shared" si="9"/>
        <v>0</v>
      </c>
      <c r="I101" s="127">
        <f t="shared" si="10"/>
        <v>0</v>
      </c>
      <c r="J101" s="90"/>
      <c r="K101" s="90"/>
      <c r="L101" s="90"/>
      <c r="M101" s="90"/>
      <c r="N101" s="90"/>
    </row>
    <row r="102" spans="1:14" ht="15">
      <c r="A102" s="159"/>
      <c r="B102" s="133" t="s">
        <v>262</v>
      </c>
      <c r="C102" s="138" t="s">
        <v>258</v>
      </c>
      <c r="D102" s="135">
        <f>Y69</f>
        <v>0</v>
      </c>
      <c r="E102" s="134">
        <f>Y82</f>
        <v>0</v>
      </c>
      <c r="F102" s="133">
        <v>2.3</v>
      </c>
      <c r="G102" s="120">
        <f t="shared" si="8"/>
        <v>0</v>
      </c>
      <c r="H102" s="120">
        <f t="shared" si="9"/>
        <v>0</v>
      </c>
      <c r="I102" s="127">
        <f t="shared" si="10"/>
        <v>0</v>
      </c>
      <c r="J102" s="90"/>
      <c r="K102" s="90"/>
      <c r="L102" s="90"/>
      <c r="M102" s="90"/>
      <c r="N102" s="90"/>
    </row>
    <row r="103" spans="1:14" ht="15">
      <c r="A103" s="159"/>
      <c r="B103" s="133" t="s">
        <v>263</v>
      </c>
      <c r="C103" s="99" t="s">
        <v>258</v>
      </c>
      <c r="D103" s="135">
        <v>0</v>
      </c>
      <c r="E103" s="134">
        <v>1</v>
      </c>
      <c r="F103" s="142">
        <v>3</v>
      </c>
      <c r="G103" s="120">
        <f t="shared" si="8"/>
        <v>0</v>
      </c>
      <c r="H103" s="120">
        <f t="shared" si="9"/>
        <v>3</v>
      </c>
      <c r="I103" s="127">
        <f t="shared" si="10"/>
        <v>3</v>
      </c>
      <c r="J103" s="90"/>
      <c r="K103" s="90"/>
      <c r="L103" s="90"/>
      <c r="M103" s="90"/>
      <c r="N103" s="90"/>
    </row>
    <row r="104" spans="1:14" ht="15">
      <c r="A104" s="159"/>
      <c r="B104" s="108" t="s">
        <v>264</v>
      </c>
      <c r="C104" s="143"/>
      <c r="D104" s="144"/>
      <c r="E104" s="129"/>
      <c r="F104" s="144"/>
      <c r="G104" s="129">
        <f>SUM(G98:G103)</f>
        <v>0</v>
      </c>
      <c r="H104" s="129">
        <f>SUM(H98:H103)</f>
        <v>43</v>
      </c>
      <c r="I104" s="131">
        <f>SUM(I98:I103)</f>
        <v>43</v>
      </c>
      <c r="J104" s="90"/>
      <c r="K104" s="90"/>
      <c r="L104" s="90"/>
      <c r="M104" s="90"/>
      <c r="N104" s="90"/>
    </row>
    <row r="105" spans="1:14" ht="15">
      <c r="A105" s="159"/>
      <c r="B105" s="90"/>
      <c r="C105" s="90"/>
      <c r="D105" s="90"/>
      <c r="E105" s="90"/>
      <c r="F105" s="90"/>
      <c r="G105" s="90"/>
      <c r="H105" s="90"/>
      <c r="I105" s="90"/>
      <c r="J105" s="90"/>
      <c r="K105" s="90"/>
      <c r="L105" s="90"/>
      <c r="M105" s="90"/>
      <c r="N105" s="90"/>
    </row>
    <row r="106" spans="1:14" ht="15">
      <c r="A106" s="156" t="s">
        <v>113</v>
      </c>
      <c r="B106" s="231" t="s">
        <v>267</v>
      </c>
      <c r="C106" s="231"/>
      <c r="D106" s="231"/>
      <c r="E106" s="231"/>
      <c r="F106" s="231"/>
      <c r="G106" s="231"/>
      <c r="H106" s="160">
        <f>I104+I86+I57</f>
        <v>11541.998899999999</v>
      </c>
      <c r="I106" s="191"/>
      <c r="J106" s="200"/>
      <c r="K106" s="24"/>
      <c r="L106" s="24"/>
      <c r="M106" s="24"/>
      <c r="N106" s="24"/>
    </row>
    <row r="107" spans="1:14" ht="15">
      <c r="A107" s="161"/>
      <c r="B107" s="161"/>
      <c r="C107" s="161"/>
      <c r="D107" s="161"/>
      <c r="E107" s="161"/>
      <c r="F107" s="161" t="s">
        <v>145</v>
      </c>
      <c r="G107" s="161"/>
      <c r="H107" s="162">
        <f>G57+G86+H104</f>
        <v>6465.4909</v>
      </c>
      <c r="I107" s="161"/>
      <c r="J107" s="163"/>
      <c r="K107" s="163"/>
      <c r="L107" s="163"/>
      <c r="M107" s="163"/>
      <c r="N107" s="161"/>
    </row>
    <row r="108" spans="1:14" ht="15">
      <c r="A108" s="161" t="s">
        <v>268</v>
      </c>
      <c r="B108" s="161"/>
      <c r="C108" s="161"/>
      <c r="D108" s="161"/>
      <c r="E108" s="161"/>
      <c r="F108" s="161" t="s">
        <v>146</v>
      </c>
      <c r="G108" s="161"/>
      <c r="H108" s="162">
        <f>H57+H86+G104</f>
        <v>5076.508000000001</v>
      </c>
      <c r="I108" s="161"/>
      <c r="J108" s="163"/>
      <c r="K108" s="163"/>
      <c r="L108" s="163"/>
      <c r="M108" s="163"/>
      <c r="N108" s="161"/>
    </row>
    <row r="109" spans="1:14" ht="15">
      <c r="A109" s="247" t="s">
        <v>269</v>
      </c>
      <c r="B109" s="247"/>
      <c r="C109" s="247"/>
      <c r="D109" s="247"/>
      <c r="E109" s="247"/>
      <c r="F109" s="247"/>
      <c r="G109" s="247"/>
      <c r="H109" s="247"/>
      <c r="I109" s="247"/>
      <c r="J109" s="247"/>
      <c r="K109" s="247"/>
      <c r="L109" s="247"/>
      <c r="M109" s="247"/>
      <c r="N109" s="161"/>
    </row>
    <row r="110" spans="1:14" ht="15">
      <c r="A110" s="248" t="s">
        <v>270</v>
      </c>
      <c r="B110" s="248"/>
      <c r="C110" s="248"/>
      <c r="D110" s="248"/>
      <c r="E110" s="248"/>
      <c r="F110" s="248"/>
      <c r="G110" s="248"/>
      <c r="H110" s="248"/>
      <c r="I110" s="248"/>
      <c r="J110" s="248"/>
      <c r="K110" s="248"/>
      <c r="L110" s="248"/>
      <c r="M110" s="248"/>
      <c r="N110" s="161"/>
    </row>
    <row r="111" spans="1:14" ht="15">
      <c r="A111" s="161"/>
      <c r="B111" s="161"/>
      <c r="C111" s="161"/>
      <c r="D111" s="161"/>
      <c r="E111" s="161"/>
      <c r="F111" s="161"/>
      <c r="G111" s="161"/>
      <c r="H111" s="161"/>
      <c r="I111" s="161"/>
      <c r="J111" s="163"/>
      <c r="K111" s="163"/>
      <c r="L111" s="163"/>
      <c r="M111" s="163"/>
      <c r="N111" s="163"/>
    </row>
    <row r="112" spans="1:14" ht="15">
      <c r="A112" s="249" t="s">
        <v>271</v>
      </c>
      <c r="B112" s="249"/>
      <c r="C112" s="249"/>
      <c r="D112" s="249"/>
      <c r="E112" s="249"/>
      <c r="F112" s="249"/>
      <c r="G112" s="249"/>
      <c r="H112" s="249"/>
      <c r="I112" s="249"/>
      <c r="J112" s="249"/>
      <c r="K112" s="249"/>
      <c r="L112" s="249"/>
      <c r="M112" s="249"/>
      <c r="N112" s="249"/>
    </row>
  </sheetData>
  <sheetProtection/>
  <mergeCells count="26">
    <mergeCell ref="A110:M110"/>
    <mergeCell ref="A112:N112"/>
    <mergeCell ref="B106:G106"/>
    <mergeCell ref="A109:M109"/>
    <mergeCell ref="J62:J63"/>
    <mergeCell ref="C89:D89"/>
    <mergeCell ref="E89:G89"/>
    <mergeCell ref="H89:I89"/>
    <mergeCell ref="B95:B96"/>
    <mergeCell ref="D95:E95"/>
    <mergeCell ref="G95:H95"/>
    <mergeCell ref="C6:D6"/>
    <mergeCell ref="E6:G6"/>
    <mergeCell ref="B34:B35"/>
    <mergeCell ref="D34:E34"/>
    <mergeCell ref="G34:H34"/>
    <mergeCell ref="B62:B63"/>
    <mergeCell ref="D62:E62"/>
    <mergeCell ref="G62:H62"/>
    <mergeCell ref="B2:N2"/>
    <mergeCell ref="C4:D4"/>
    <mergeCell ref="E4:G4"/>
    <mergeCell ref="C5:G5"/>
    <mergeCell ref="H5:I5"/>
    <mergeCell ref="J5:K5"/>
    <mergeCell ref="L5:N5"/>
  </mergeCells>
  <printOptions/>
  <pageMargins left="0" right="0" top="0" bottom="0"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Морозова Евгения Анатольевна</cp:lastModifiedBy>
  <cp:lastPrinted>2019-10-11T04:02:55Z</cp:lastPrinted>
  <dcterms:created xsi:type="dcterms:W3CDTF">1996-10-08T23:32:33Z</dcterms:created>
  <dcterms:modified xsi:type="dcterms:W3CDTF">2021-09-28T03:30:48Z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