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0055" windowHeight="9735"/>
  </bookViews>
  <sheets>
    <sheet name="9" sheetId="1" r:id="rId1"/>
  </sheets>
  <definedNames>
    <definedName name="_xlnm.Print_Area" localSheetId="0">'9'!$A$1:$I$68</definedName>
  </definedNames>
  <calcPr calcId="124519"/>
</workbook>
</file>

<file path=xl/calcChain.xml><?xml version="1.0" encoding="utf-8"?>
<calcChain xmlns="http://schemas.openxmlformats.org/spreadsheetml/2006/main">
  <c r="D55" i="1"/>
  <c r="G53"/>
  <c r="D53"/>
  <c r="G52"/>
  <c r="D52"/>
  <c r="H51"/>
  <c r="G51" s="1"/>
  <c r="D51"/>
  <c r="G50"/>
  <c r="D50"/>
  <c r="H49"/>
  <c r="G49"/>
  <c r="D49"/>
  <c r="H48"/>
  <c r="G48" s="1"/>
  <c r="D48"/>
  <c r="G47"/>
  <c r="D47"/>
  <c r="H46"/>
  <c r="E46"/>
  <c r="H45"/>
  <c r="G45" s="1"/>
  <c r="D45"/>
  <c r="H44"/>
  <c r="G44"/>
  <c r="D44"/>
  <c r="H41"/>
  <c r="G41"/>
  <c r="D41"/>
  <c r="H40"/>
  <c r="G40" s="1"/>
  <c r="D40"/>
  <c r="H39"/>
  <c r="G38"/>
  <c r="H37"/>
  <c r="G37"/>
  <c r="H36"/>
  <c r="D35"/>
  <c r="H34"/>
  <c r="G34"/>
  <c r="D34"/>
  <c r="H33"/>
  <c r="G33" s="1"/>
  <c r="D33"/>
  <c r="H32"/>
  <c r="G32"/>
  <c r="D32"/>
  <c r="H31"/>
  <c r="G31" s="1"/>
  <c r="D31"/>
  <c r="H30"/>
  <c r="G30"/>
  <c r="D30"/>
  <c r="H29"/>
  <c r="G29" s="1"/>
  <c r="D29"/>
  <c r="H28"/>
  <c r="G28"/>
  <c r="D28"/>
  <c r="H27"/>
  <c r="G27"/>
  <c r="H26"/>
  <c r="G26" s="1"/>
  <c r="H25"/>
  <c r="G25"/>
  <c r="H24"/>
  <c r="H23"/>
  <c r="G23" s="1"/>
  <c r="D23"/>
  <c r="E22"/>
  <c r="D22"/>
  <c r="H21"/>
  <c r="G21"/>
  <c r="D21"/>
  <c r="H20"/>
  <c r="G20"/>
  <c r="H19"/>
  <c r="H18"/>
  <c r="G18"/>
  <c r="H17"/>
  <c r="G17" s="1"/>
  <c r="H16"/>
  <c r="G16"/>
  <c r="H15"/>
  <c r="H14"/>
  <c r="G14"/>
  <c r="H13"/>
  <c r="G13" s="1"/>
  <c r="H12"/>
  <c r="G12"/>
  <c r="D11"/>
  <c r="H10"/>
  <c r="G10"/>
  <c r="D10"/>
  <c r="H9"/>
  <c r="G9"/>
  <c r="D9"/>
  <c r="H8"/>
  <c r="G8"/>
  <c r="E8"/>
  <c r="E42" s="1"/>
  <c r="D8"/>
  <c r="D42" l="1"/>
  <c r="H54"/>
  <c r="G15"/>
  <c r="G19"/>
  <c r="G11" s="1"/>
  <c r="G24"/>
  <c r="G36"/>
  <c r="G39"/>
  <c r="G46"/>
  <c r="H35"/>
  <c r="E54"/>
  <c r="H11"/>
  <c r="D46"/>
  <c r="G35" l="1"/>
  <c r="G54"/>
  <c r="D54"/>
  <c r="H22"/>
  <c r="E56"/>
  <c r="D56" l="1"/>
  <c r="G22"/>
  <c r="H42"/>
  <c r="H56" l="1"/>
  <c r="G42"/>
  <c r="G56" l="1"/>
</calcChain>
</file>

<file path=xl/comments1.xml><?xml version="1.0" encoding="utf-8"?>
<comments xmlns="http://schemas.openxmlformats.org/spreadsheetml/2006/main">
  <authors>
    <author>user</author>
    <author>KiselevaMA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без материалов на ТП и подряды</t>
        </r>
      </text>
    </comment>
    <comment ref="H1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вкл компенсация ГСМ</t>
        </r>
      </text>
    </comment>
    <comment ref="H25" authorId="1">
      <text>
        <r>
          <rPr>
            <b/>
            <sz val="8"/>
            <color indexed="81"/>
            <rFont val="Tahoma"/>
            <family val="2"/>
            <charset val="204"/>
          </rPr>
          <t>KiselevaMA:</t>
        </r>
        <r>
          <rPr>
            <sz val="8"/>
            <color indexed="81"/>
            <rFont val="Tahoma"/>
            <family val="2"/>
            <charset val="204"/>
          </rPr>
          <t xml:space="preserve">
200 - оборуд.</t>
        </r>
      </text>
    </comment>
  </commentList>
</comments>
</file>

<file path=xl/sharedStrings.xml><?xml version="1.0" encoding="utf-8"?>
<sst xmlns="http://schemas.openxmlformats.org/spreadsheetml/2006/main" count="136" uniqueCount="106">
  <si>
    <t>Таблица №9</t>
  </si>
  <si>
    <t>Затраты на передачу энергии ООО "Артемовская электросетевая компания"</t>
  </si>
  <si>
    <t>№ п.п.</t>
  </si>
  <si>
    <t>Показатели</t>
  </si>
  <si>
    <t>Единица измерения</t>
  </si>
  <si>
    <t>Принято Департаментом по тарифам ПК на отчетный период регулирования</t>
  </si>
  <si>
    <t>Фактически за отчетный период регулирования</t>
  </si>
  <si>
    <t>Всего</t>
  </si>
  <si>
    <t>в том числе</t>
  </si>
  <si>
    <t>передача энергии</t>
  </si>
  <si>
    <t>сбыт энергии</t>
  </si>
  <si>
    <t>Подконтрольные расходы</t>
  </si>
  <si>
    <t>1.</t>
  </si>
  <si>
    <t>Материальные затраты</t>
  </si>
  <si>
    <t>тыс.руб</t>
  </si>
  <si>
    <t>1.1.</t>
  </si>
  <si>
    <t>Сырье и материалы</t>
  </si>
  <si>
    <t>-"-</t>
  </si>
  <si>
    <t>1.2.</t>
  </si>
  <si>
    <t>Топливо (ГСМ)</t>
  </si>
  <si>
    <t>2.</t>
  </si>
  <si>
    <t>Работы и услуги производственного характера</t>
  </si>
  <si>
    <t>2.2.</t>
  </si>
  <si>
    <t>Ремонт кровли, дверей на ТП, ремонт др. объектов электроснабжения</t>
  </si>
  <si>
    <t>2.3.</t>
  </si>
  <si>
    <t>Ремонт производственных зданий</t>
  </si>
  <si>
    <t>2.4.</t>
  </si>
  <si>
    <t>Подготовка проектной документации, согласования</t>
  </si>
  <si>
    <t>2.5.</t>
  </si>
  <si>
    <t>Тех. обслуживание ККМ (ООО ЦТО)</t>
  </si>
  <si>
    <t>2.6.</t>
  </si>
  <si>
    <t>Автоуслуги прочих организаций</t>
  </si>
  <si>
    <t>2.7.</t>
  </si>
  <si>
    <t>Ремонт оборудования, инструмента, инвентаря</t>
  </si>
  <si>
    <t>2.8.</t>
  </si>
  <si>
    <t xml:space="preserve"> Поверка измерительных инструментов</t>
  </si>
  <si>
    <t>2.9.</t>
  </si>
  <si>
    <t>Ремонт автотехники</t>
  </si>
  <si>
    <t>2.10.</t>
  </si>
  <si>
    <t xml:space="preserve">Прочие </t>
  </si>
  <si>
    <t>3.</t>
  </si>
  <si>
    <t>Расходы на оплату труда</t>
  </si>
  <si>
    <t>4.</t>
  </si>
  <si>
    <t>Прочие денежные расходы, в т.ч.</t>
  </si>
  <si>
    <t>4.1.</t>
  </si>
  <si>
    <t>Расходы на охрану труда</t>
  </si>
  <si>
    <t>4.1.1.</t>
  </si>
  <si>
    <t>Проведение периодического медосмотра сотрудников</t>
  </si>
  <si>
    <t>4.1.2.</t>
  </si>
  <si>
    <t>Материалы: Спецодежда и средства защиты</t>
  </si>
  <si>
    <t>4.1.3.</t>
  </si>
  <si>
    <t>Обучение, аттестация, проверка знаний</t>
  </si>
  <si>
    <t xml:space="preserve"> </t>
  </si>
  <si>
    <t>4.1.4.</t>
  </si>
  <si>
    <t>Мероприятия по ОТ и ТБ</t>
  </si>
  <si>
    <t>4.2.</t>
  </si>
  <si>
    <t>Расходы на командировки и представительские расходы</t>
  </si>
  <si>
    <t>4.3.</t>
  </si>
  <si>
    <t>Расходы на обучение персонала</t>
  </si>
  <si>
    <t>4.4.</t>
  </si>
  <si>
    <t>Расходы на страхование</t>
  </si>
  <si>
    <t>4.5.</t>
  </si>
  <si>
    <t>Расходы на информационные, консультационные услуги, программное обеспечение, юридические услуги</t>
  </si>
  <si>
    <t>4.6.</t>
  </si>
  <si>
    <t>Услуги почты, банков, связи, СМИ</t>
  </si>
  <si>
    <t>4.7.</t>
  </si>
  <si>
    <t>Охранные услуги</t>
  </si>
  <si>
    <t>4.8.</t>
  </si>
  <si>
    <t>Расходы на оплату коммунальных услуг</t>
  </si>
  <si>
    <t>4.9.</t>
  </si>
  <si>
    <t>Прочие услуги сторонних организаций</t>
  </si>
  <si>
    <t>4.9.1.</t>
  </si>
  <si>
    <t>услуги по обслуживанию ксероксов и принтеров, ремонт компьютеров и комплектующих</t>
  </si>
  <si>
    <t>4.9.2.</t>
  </si>
  <si>
    <t>подписка на техническую, учебную литературу</t>
  </si>
  <si>
    <t>4.9.3.</t>
  </si>
  <si>
    <t xml:space="preserve">постановка на учет а/машин в ГАИ, услуги автостоянки, услуги по диагностике ходовой части а/м </t>
  </si>
  <si>
    <t>4.9.4.</t>
  </si>
  <si>
    <t>членство в СРО</t>
  </si>
  <si>
    <t>4.10.</t>
  </si>
  <si>
    <t>Другие прочие расходы</t>
  </si>
  <si>
    <t>5.</t>
  </si>
  <si>
    <t>Энергия на хозяйственные нужды</t>
  </si>
  <si>
    <t>Итого подконтрольных расходов</t>
  </si>
  <si>
    <t>Неподконтрольные расходы, в т.ч.</t>
  </si>
  <si>
    <t>2.1.</t>
  </si>
  <si>
    <t>Амортизация основных средств</t>
  </si>
  <si>
    <t>Отчисления на социальные нужды</t>
  </si>
  <si>
    <t>Налоги и другие обязательные платежи и сборы, в т.ч.:</t>
  </si>
  <si>
    <t>2.3.1.</t>
  </si>
  <si>
    <t>Налог на землю</t>
  </si>
  <si>
    <t>2.3.2.</t>
  </si>
  <si>
    <t>Налог на имущество</t>
  </si>
  <si>
    <t>2.3.3</t>
  </si>
  <si>
    <t>Плата за фактическое загрязнение окружающей среды</t>
  </si>
  <si>
    <t>2.3.4.</t>
  </si>
  <si>
    <t>Налог на прибыль</t>
  </si>
  <si>
    <t>Плата за аренду имущества</t>
  </si>
  <si>
    <t>Капитальные вложения производственного характера из прибыли</t>
  </si>
  <si>
    <t>Прочие неподконтрольные расходы (прибыль на соц. развитие)</t>
  </si>
  <si>
    <t>ИТОГО неподконтрольных расходов</t>
  </si>
  <si>
    <t>Расходы, связанные с компенсацией выпадающих доходов</t>
  </si>
  <si>
    <t>11.</t>
  </si>
  <si>
    <t>Всего расходов с прибылью</t>
  </si>
  <si>
    <t>Директор ООО"Артемовская электросетевая компания"</t>
  </si>
  <si>
    <t>С.М. Самохин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</si>
</sst>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8"/>
      <name val="Arial"/>
      <family val="2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0" fillId="0" borderId="0"/>
    <xf numFmtId="0" fontId="18" fillId="0" borderId="0" applyBorder="0">
      <alignment horizontal="center" vertical="center" wrapText="1"/>
    </xf>
    <xf numFmtId="0" fontId="19" fillId="0" borderId="7" applyBorder="0">
      <alignment horizontal="center" vertical="center" wrapText="1"/>
    </xf>
    <xf numFmtId="0" fontId="1" fillId="0" borderId="0"/>
    <xf numFmtId="0" fontId="10" fillId="0" borderId="0"/>
    <xf numFmtId="0" fontId="12" fillId="0" borderId="0"/>
    <xf numFmtId="4" fontId="20" fillId="7" borderId="0" applyBorder="0">
      <alignment horizontal="right"/>
    </xf>
  </cellStyleXfs>
  <cellXfs count="128">
    <xf numFmtId="0" fontId="0" fillId="0" borderId="0" xfId="0"/>
    <xf numFmtId="0" fontId="2" fillId="0" borderId="0" xfId="1" applyFont="1"/>
    <xf numFmtId="0" fontId="2" fillId="0" borderId="0" xfId="1" applyFont="1" applyFill="1"/>
    <xf numFmtId="4" fontId="2" fillId="0" borderId="0" xfId="1" applyNumberFormat="1" applyFont="1"/>
    <xf numFmtId="0" fontId="3" fillId="0" borderId="0" xfId="1" applyFont="1"/>
    <xf numFmtId="0" fontId="1" fillId="0" borderId="0" xfId="1"/>
    <xf numFmtId="0" fontId="5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 applyAlignment="1">
      <alignment wrapText="1"/>
    </xf>
    <xf numFmtId="4" fontId="2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4" fontId="6" fillId="2" borderId="4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4" fontId="7" fillId="0" borderId="6" xfId="1" applyNumberFormat="1" applyFont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left" vertical="center" wrapText="1"/>
    </xf>
    <xf numFmtId="164" fontId="7" fillId="3" borderId="0" xfId="1" applyNumberFormat="1" applyFont="1" applyFill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4" fontId="1" fillId="0" borderId="0" xfId="1" applyNumberFormat="1"/>
    <xf numFmtId="0" fontId="2" fillId="4" borderId="4" xfId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left"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4" fontId="2" fillId="4" borderId="4" xfId="1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164" fontId="7" fillId="4" borderId="4" xfId="1" applyNumberFormat="1" applyFont="1" applyFill="1" applyBorder="1" applyAlignment="1">
      <alignment horizontal="center" vertical="center" wrapText="1"/>
    </xf>
    <xf numFmtId="4" fontId="3" fillId="4" borderId="4" xfId="1" applyNumberFormat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7" fillId="3" borderId="4" xfId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left" vertical="center"/>
    </xf>
    <xf numFmtId="4" fontId="7" fillId="3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4" fontId="9" fillId="3" borderId="4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49" fontId="2" fillId="4" borderId="4" xfId="1" applyNumberFormat="1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left" vertical="center"/>
    </xf>
    <xf numFmtId="4" fontId="7" fillId="4" borderId="4" xfId="1" applyNumberFormat="1" applyFont="1" applyFill="1" applyBorder="1" applyAlignment="1">
      <alignment horizontal="center" vertical="center" wrapText="1"/>
    </xf>
    <xf numFmtId="4" fontId="2" fillId="4" borderId="4" xfId="1" applyNumberFormat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/>
    </xf>
    <xf numFmtId="164" fontId="9" fillId="4" borderId="4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/>
    </xf>
    <xf numFmtId="4" fontId="2" fillId="0" borderId="4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4" fontId="11" fillId="4" borderId="4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164" fontId="11" fillId="4" borderId="4" xfId="1" applyNumberFormat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4" fontId="7" fillId="4" borderId="4" xfId="1" applyNumberFormat="1" applyFont="1" applyFill="1" applyBorder="1" applyAlignment="1">
      <alignment horizontal="center" vertical="center"/>
    </xf>
    <xf numFmtId="49" fontId="7" fillId="4" borderId="4" xfId="1" applyNumberFormat="1" applyFont="1" applyFill="1" applyBorder="1" applyAlignment="1">
      <alignment horizontal="center" vertical="center"/>
    </xf>
    <xf numFmtId="164" fontId="7" fillId="4" borderId="4" xfId="1" applyNumberFormat="1" applyFont="1" applyFill="1" applyBorder="1" applyAlignment="1">
      <alignment horizontal="left" vertical="center"/>
    </xf>
    <xf numFmtId="164" fontId="9" fillId="4" borderId="4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/>
    </xf>
    <xf numFmtId="164" fontId="7" fillId="5" borderId="4" xfId="1" applyNumberFormat="1" applyFont="1" applyFill="1" applyBorder="1" applyAlignment="1">
      <alignment horizontal="left" vertical="center"/>
    </xf>
    <xf numFmtId="164" fontId="2" fillId="5" borderId="4" xfId="1" applyNumberFormat="1" applyFont="1" applyFill="1" applyBorder="1" applyAlignment="1">
      <alignment horizontal="center" vertical="center" wrapText="1"/>
    </xf>
    <xf numFmtId="4" fontId="7" fillId="5" borderId="4" xfId="1" applyNumberFormat="1" applyFont="1" applyFill="1" applyBorder="1" applyAlignment="1">
      <alignment horizontal="center" vertical="center" wrapText="1"/>
    </xf>
    <xf numFmtId="4" fontId="7" fillId="5" borderId="4" xfId="1" applyNumberFormat="1" applyFont="1" applyFill="1" applyBorder="1" applyAlignment="1">
      <alignment horizontal="center" vertical="center"/>
    </xf>
    <xf numFmtId="4" fontId="9" fillId="5" borderId="4" xfId="1" applyNumberFormat="1" applyFont="1" applyFill="1" applyBorder="1" applyAlignment="1">
      <alignment horizontal="center" vertical="center"/>
    </xf>
    <xf numFmtId="164" fontId="7" fillId="5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left" vertical="center" wrapText="1"/>
    </xf>
    <xf numFmtId="164" fontId="2" fillId="0" borderId="4" xfId="1" applyNumberFormat="1" applyFont="1" applyFill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4" xfId="2" applyFont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left" vertical="center" wrapText="1"/>
    </xf>
    <xf numFmtId="164" fontId="7" fillId="5" borderId="4" xfId="1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 wrapText="1"/>
    </xf>
    <xf numFmtId="4" fontId="7" fillId="0" borderId="4" xfId="1" applyNumberFormat="1" applyFont="1" applyFill="1" applyBorder="1" applyAlignment="1">
      <alignment horizontal="center" vertical="center"/>
    </xf>
    <xf numFmtId="4" fontId="9" fillId="0" borderId="4" xfId="1" applyNumberFormat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164" fontId="7" fillId="6" borderId="4" xfId="1" applyNumberFormat="1" applyFont="1" applyFill="1" applyBorder="1" applyAlignment="1">
      <alignment horizontal="left" vertical="center" wrapText="1"/>
    </xf>
    <xf numFmtId="164" fontId="2" fillId="6" borderId="4" xfId="1" applyNumberFormat="1" applyFont="1" applyFill="1" applyBorder="1" applyAlignment="1">
      <alignment horizontal="center" vertical="center" wrapText="1"/>
    </xf>
    <xf numFmtId="4" fontId="7" fillId="6" borderId="4" xfId="1" applyNumberFormat="1" applyFont="1" applyFill="1" applyBorder="1" applyAlignment="1">
      <alignment horizontal="center" vertical="center" wrapText="1"/>
    </xf>
    <xf numFmtId="4" fontId="9" fillId="6" borderId="4" xfId="1" applyNumberFormat="1" applyFont="1" applyFill="1" applyBorder="1" applyAlignment="1">
      <alignment horizontal="center" vertical="center" wrapText="1"/>
    </xf>
    <xf numFmtId="164" fontId="2" fillId="6" borderId="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wrapText="1"/>
    </xf>
    <xf numFmtId="4" fontId="2" fillId="0" borderId="0" xfId="1" applyNumberFormat="1" applyFont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Border="1" applyAlignment="1">
      <alignment wrapText="1"/>
    </xf>
    <xf numFmtId="4" fontId="3" fillId="0" borderId="0" xfId="1" applyNumberFormat="1" applyFont="1"/>
    <xf numFmtId="0" fontId="14" fillId="0" borderId="0" xfId="1" applyFont="1" applyBorder="1" applyAlignment="1">
      <alignment horizontal="left" wrapText="1"/>
    </xf>
    <xf numFmtId="0" fontId="1" fillId="0" borderId="0" xfId="1" applyFill="1"/>
    <xf numFmtId="4" fontId="15" fillId="0" borderId="0" xfId="1" applyNumberFormat="1" applyFont="1"/>
    <xf numFmtId="0" fontId="1" fillId="0" borderId="0" xfId="1" applyFont="1"/>
    <xf numFmtId="0" fontId="15" fillId="0" borderId="0" xfId="1" applyFont="1"/>
    <xf numFmtId="10" fontId="15" fillId="0" borderId="0" xfId="1" applyNumberFormat="1" applyFont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13" fillId="0" borderId="0" xfId="1" applyFont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9">
    <cellStyle name="Заголовок" xfId="3"/>
    <cellStyle name="ЗаголовокСтолбца" xfId="4"/>
    <cellStyle name="Обычный" xfId="0" builtinId="0"/>
    <cellStyle name="Обычный 2" xfId="5"/>
    <cellStyle name="Обычный 3" xfId="6"/>
    <cellStyle name="Обычный 4" xfId="7"/>
    <cellStyle name="Обычный_Отчетность затраты 2011" xfId="1"/>
    <cellStyle name="Обычный_Смета расходов в ответ на исх." xfId="2"/>
    <cellStyle name="Формула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topLeftCell="A37" zoomScaleSheetLayoutView="55" workbookViewId="0">
      <selection activeCell="L14" sqref="L14"/>
    </sheetView>
  </sheetViews>
  <sheetFormatPr defaultColWidth="10.6640625" defaultRowHeight="12.75"/>
  <cols>
    <col min="1" max="1" width="10.6640625" style="5" customWidth="1"/>
    <col min="2" max="2" width="73.1640625" style="109" customWidth="1"/>
    <col min="3" max="3" width="12.1640625" style="5" customWidth="1"/>
    <col min="4" max="4" width="14" style="26" customWidth="1"/>
    <col min="5" max="5" width="14.6640625" style="26" customWidth="1"/>
    <col min="6" max="6" width="11.6640625" style="5" customWidth="1"/>
    <col min="7" max="7" width="16.33203125" style="112" customWidth="1"/>
    <col min="8" max="8" width="17.6640625" style="112" customWidth="1"/>
    <col min="9" max="9" width="15.33203125" style="5" customWidth="1"/>
    <col min="10" max="11" width="17.33203125" customWidth="1"/>
    <col min="12" max="12" width="18.1640625" customWidth="1"/>
    <col min="13" max="13" width="17.33203125" customWidth="1"/>
    <col min="14" max="14" width="15.6640625" customWidth="1"/>
    <col min="16" max="17" width="17.33203125" bestFit="1" customWidth="1"/>
    <col min="18" max="18" width="16.1640625" customWidth="1"/>
    <col min="19" max="19" width="18.33203125" customWidth="1"/>
    <col min="20" max="20" width="18.6640625" bestFit="1" customWidth="1"/>
    <col min="24" max="16384" width="10.6640625" style="5"/>
  </cols>
  <sheetData>
    <row r="1" spans="1:23" ht="15.75">
      <c r="A1" s="1"/>
      <c r="B1" s="2"/>
      <c r="C1" s="1"/>
      <c r="D1" s="3"/>
      <c r="E1" s="3"/>
      <c r="F1" s="1"/>
      <c r="G1" s="4"/>
      <c r="H1" s="123" t="s">
        <v>0</v>
      </c>
      <c r="I1" s="123"/>
    </row>
    <row r="2" spans="1:23" s="6" customFormat="1" ht="2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5.75">
      <c r="A3" s="7"/>
      <c r="B3" s="8"/>
      <c r="C3" s="7"/>
      <c r="D3" s="9"/>
      <c r="E3" s="9"/>
      <c r="F3" s="7"/>
      <c r="G3" s="10"/>
      <c r="H3" s="10"/>
      <c r="I3" s="1"/>
    </row>
    <row r="4" spans="1:23" ht="15.75" customHeight="1">
      <c r="A4" s="125" t="s">
        <v>2</v>
      </c>
      <c r="B4" s="125" t="s">
        <v>3</v>
      </c>
      <c r="C4" s="125" t="s">
        <v>4</v>
      </c>
      <c r="D4" s="119" t="s">
        <v>5</v>
      </c>
      <c r="E4" s="119"/>
      <c r="F4" s="120"/>
      <c r="G4" s="119" t="s">
        <v>6</v>
      </c>
      <c r="H4" s="120"/>
      <c r="I4" s="120"/>
    </row>
    <row r="5" spans="1:23" ht="15.75" customHeight="1">
      <c r="A5" s="126"/>
      <c r="B5" s="126"/>
      <c r="C5" s="126"/>
      <c r="D5" s="117" t="s">
        <v>7</v>
      </c>
      <c r="E5" s="119" t="s">
        <v>8</v>
      </c>
      <c r="F5" s="120"/>
      <c r="G5" s="121" t="s">
        <v>7</v>
      </c>
      <c r="H5" s="119" t="s">
        <v>8</v>
      </c>
      <c r="I5" s="120"/>
    </row>
    <row r="6" spans="1:23" ht="31.5">
      <c r="A6" s="127"/>
      <c r="B6" s="127"/>
      <c r="C6" s="127"/>
      <c r="D6" s="118"/>
      <c r="E6" s="11" t="s">
        <v>9</v>
      </c>
      <c r="F6" s="12" t="s">
        <v>10</v>
      </c>
      <c r="G6" s="122"/>
      <c r="H6" s="13" t="s">
        <v>9</v>
      </c>
      <c r="I6" s="12" t="s">
        <v>10</v>
      </c>
    </row>
    <row r="7" spans="1:23" ht="15.75">
      <c r="A7" s="15"/>
      <c r="B7" s="15" t="s">
        <v>11</v>
      </c>
      <c r="C7" s="14"/>
      <c r="D7" s="16"/>
      <c r="E7" s="17"/>
      <c r="F7" s="14"/>
      <c r="G7" s="18"/>
      <c r="H7" s="19"/>
      <c r="I7" s="14"/>
    </row>
    <row r="8" spans="1:23" ht="15.75">
      <c r="A8" s="20" t="s">
        <v>12</v>
      </c>
      <c r="B8" s="21" t="s">
        <v>13</v>
      </c>
      <c r="C8" s="22" t="s">
        <v>14</v>
      </c>
      <c r="D8" s="23">
        <f>E8</f>
        <v>12676.35</v>
      </c>
      <c r="E8" s="23">
        <f>E9+E10</f>
        <v>12676.35</v>
      </c>
      <c r="F8" s="23"/>
      <c r="G8" s="24">
        <f>G9+G10</f>
        <v>13926.804478</v>
      </c>
      <c r="H8" s="24">
        <f>H9+H10</f>
        <v>13926.804478</v>
      </c>
      <c r="I8" s="25"/>
    </row>
    <row r="9" spans="1:23" ht="15.75">
      <c r="A9" s="27" t="s">
        <v>15</v>
      </c>
      <c r="B9" s="28" t="s">
        <v>16</v>
      </c>
      <c r="C9" s="29" t="s">
        <v>17</v>
      </c>
      <c r="D9" s="30">
        <f>E9</f>
        <v>10701.74</v>
      </c>
      <c r="E9" s="30">
        <v>10701.74</v>
      </c>
      <c r="F9" s="29"/>
      <c r="G9" s="31">
        <f>H9</f>
        <v>11425.52059</v>
      </c>
      <c r="H9" s="31">
        <f>(683292.64+108792.7+542752.19+31358.1+32082.97+65673.37+13204002.79-2927551.85-898255.87+324958.48+19176.51+35046.72+84725.85+119133.35+332.64)/1000</f>
        <v>11425.52059</v>
      </c>
      <c r="I9" s="29"/>
    </row>
    <row r="10" spans="1:23" ht="15.75">
      <c r="A10" s="27" t="s">
        <v>18</v>
      </c>
      <c r="B10" s="28" t="s">
        <v>19</v>
      </c>
      <c r="C10" s="29" t="s">
        <v>17</v>
      </c>
      <c r="D10" s="30">
        <f>E10</f>
        <v>1974.61</v>
      </c>
      <c r="E10" s="30">
        <v>1974.61</v>
      </c>
      <c r="F10" s="29"/>
      <c r="G10" s="31">
        <f>H10+I10</f>
        <v>2501.2838879999995</v>
      </c>
      <c r="H10" s="33">
        <f>(2539564.92+17375.01+68407.92+116308.01+37548.46)/1000*90%</f>
        <v>2501.2838879999995</v>
      </c>
      <c r="I10" s="29"/>
    </row>
    <row r="11" spans="1:23" ht="15.75">
      <c r="A11" s="20" t="s">
        <v>20</v>
      </c>
      <c r="B11" s="21" t="s">
        <v>21</v>
      </c>
      <c r="C11" s="34" t="s">
        <v>17</v>
      </c>
      <c r="D11" s="23">
        <f>E11</f>
        <v>3342.33</v>
      </c>
      <c r="E11" s="23">
        <v>3342.33</v>
      </c>
      <c r="F11" s="34"/>
      <c r="G11" s="35">
        <f>SUM(G12:G20)</f>
        <v>4206.0313899999992</v>
      </c>
      <c r="H11" s="35">
        <f>SUM(H12:H20)</f>
        <v>4206.0313899999992</v>
      </c>
      <c r="I11" s="25"/>
    </row>
    <row r="12" spans="1:23" ht="31.5">
      <c r="A12" s="36" t="s">
        <v>22</v>
      </c>
      <c r="B12" s="37" t="s">
        <v>23</v>
      </c>
      <c r="C12" s="38"/>
      <c r="D12" s="17"/>
      <c r="E12" s="39"/>
      <c r="F12" s="40"/>
      <c r="G12" s="41">
        <f t="shared" ref="G12:G21" si="0">H12+I12</f>
        <v>3347.4576299999999</v>
      </c>
      <c r="H12" s="41">
        <f>3347457.63/1000</f>
        <v>3347.4576299999999</v>
      </c>
      <c r="I12" s="42"/>
    </row>
    <row r="13" spans="1:23" ht="15.75">
      <c r="A13" s="36" t="s">
        <v>24</v>
      </c>
      <c r="B13" s="37" t="s">
        <v>25</v>
      </c>
      <c r="C13" s="38"/>
      <c r="D13" s="17"/>
      <c r="E13" s="39"/>
      <c r="F13" s="40"/>
      <c r="G13" s="41">
        <f t="shared" si="0"/>
        <v>80.062820000000002</v>
      </c>
      <c r="H13" s="41">
        <f>80062.82/1000</f>
        <v>80.062820000000002</v>
      </c>
      <c r="I13" s="42"/>
    </row>
    <row r="14" spans="1:23" ht="15.75">
      <c r="A14" s="36" t="s">
        <v>26</v>
      </c>
      <c r="B14" s="37" t="s">
        <v>27</v>
      </c>
      <c r="C14" s="38"/>
      <c r="D14" s="17"/>
      <c r="E14" s="39"/>
      <c r="F14" s="40"/>
      <c r="G14" s="41">
        <f t="shared" si="0"/>
        <v>419.25690000000003</v>
      </c>
      <c r="H14" s="41">
        <f>419256.9/1000</f>
        <v>419.25690000000003</v>
      </c>
      <c r="I14" s="42"/>
    </row>
    <row r="15" spans="1:23" ht="15.75">
      <c r="A15" s="36" t="s">
        <v>28</v>
      </c>
      <c r="B15" s="37" t="s">
        <v>29</v>
      </c>
      <c r="C15" s="38"/>
      <c r="D15" s="17"/>
      <c r="E15" s="39"/>
      <c r="F15" s="40"/>
      <c r="G15" s="41">
        <f t="shared" si="0"/>
        <v>2.64</v>
      </c>
      <c r="H15" s="41">
        <f>2640/1000</f>
        <v>2.64</v>
      </c>
      <c r="I15" s="42"/>
    </row>
    <row r="16" spans="1:23" ht="15.75">
      <c r="A16" s="36" t="s">
        <v>30</v>
      </c>
      <c r="B16" s="37" t="s">
        <v>31</v>
      </c>
      <c r="C16" s="38"/>
      <c r="D16" s="17"/>
      <c r="E16" s="39"/>
      <c r="F16" s="40"/>
      <c r="G16" s="41">
        <f t="shared" si="0"/>
        <v>6.9140699999999997</v>
      </c>
      <c r="H16" s="41">
        <f>6914.07/1000</f>
        <v>6.9140699999999997</v>
      </c>
      <c r="I16" s="42"/>
    </row>
    <row r="17" spans="1:26" ht="15.75">
      <c r="A17" s="36" t="s">
        <v>32</v>
      </c>
      <c r="B17" s="43" t="s">
        <v>33</v>
      </c>
      <c r="C17" s="38"/>
      <c r="D17" s="17"/>
      <c r="E17" s="39"/>
      <c r="F17" s="40"/>
      <c r="G17" s="41">
        <f t="shared" si="0"/>
        <v>122.098</v>
      </c>
      <c r="H17" s="41">
        <f>(11298+110800)/1000</f>
        <v>122.098</v>
      </c>
      <c r="I17" s="42"/>
    </row>
    <row r="18" spans="1:26" ht="15.75">
      <c r="A18" s="36" t="s">
        <v>34</v>
      </c>
      <c r="B18" s="43" t="s">
        <v>35</v>
      </c>
      <c r="C18" s="38"/>
      <c r="D18" s="17"/>
      <c r="E18" s="39"/>
      <c r="F18" s="40"/>
      <c r="G18" s="41">
        <f t="shared" si="0"/>
        <v>2.3029999999999999</v>
      </c>
      <c r="H18" s="41">
        <f>2303/1000</f>
        <v>2.3029999999999999</v>
      </c>
      <c r="I18" s="42"/>
    </row>
    <row r="19" spans="1:26" ht="15.75">
      <c r="A19" s="36" t="s">
        <v>36</v>
      </c>
      <c r="B19" s="44" t="s">
        <v>37</v>
      </c>
      <c r="C19" s="38"/>
      <c r="D19" s="17"/>
      <c r="E19" s="39"/>
      <c r="F19" s="40"/>
      <c r="G19" s="41">
        <f t="shared" si="0"/>
        <v>95.08489999999999</v>
      </c>
      <c r="H19" s="41">
        <f>95084.9/1000</f>
        <v>95.08489999999999</v>
      </c>
      <c r="I19" s="42"/>
    </row>
    <row r="20" spans="1:26" ht="15.75">
      <c r="A20" s="36" t="s">
        <v>38</v>
      </c>
      <c r="B20" s="44" t="s">
        <v>39</v>
      </c>
      <c r="C20" s="38"/>
      <c r="D20" s="17"/>
      <c r="E20" s="39"/>
      <c r="F20" s="40"/>
      <c r="G20" s="41">
        <f t="shared" si="0"/>
        <v>130.21407000000002</v>
      </c>
      <c r="H20" s="41">
        <f>130214.07/1000</f>
        <v>130.21407000000002</v>
      </c>
      <c r="I20" s="42"/>
    </row>
    <row r="21" spans="1:26" ht="15.75">
      <c r="A21" s="45" t="s">
        <v>40</v>
      </c>
      <c r="B21" s="46" t="s">
        <v>41</v>
      </c>
      <c r="C21" s="25" t="s">
        <v>17</v>
      </c>
      <c r="D21" s="23">
        <f t="shared" ref="D21:D42" si="1">E21</f>
        <v>41905.57</v>
      </c>
      <c r="E21" s="47">
        <v>41905.57</v>
      </c>
      <c r="F21" s="25"/>
      <c r="G21" s="35">
        <f t="shared" si="0"/>
        <v>52668.54645300001</v>
      </c>
      <c r="H21" s="48">
        <f>(103357.63+14350.83+34772630.84+9346741.17+(18028000-4181609)+437135.7)/1000*90%</f>
        <v>52668.54645300001</v>
      </c>
      <c r="I21" s="34"/>
    </row>
    <row r="22" spans="1:26" ht="15.75">
      <c r="A22" s="45" t="s">
        <v>42</v>
      </c>
      <c r="B22" s="46" t="s">
        <v>43</v>
      </c>
      <c r="C22" s="25" t="s">
        <v>17</v>
      </c>
      <c r="D22" s="23">
        <f t="shared" si="1"/>
        <v>3696.1</v>
      </c>
      <c r="E22" s="47">
        <f>E23+E28+E29+E30+E31+E32+E33+E34+E35+E40</f>
        <v>3696.1</v>
      </c>
      <c r="F22" s="47"/>
      <c r="G22" s="49">
        <f>G23+G28+G29+G30+G31+G32+G33+G34+G35+G40</f>
        <v>5384.5413689999996</v>
      </c>
      <c r="H22" s="49">
        <f>H23+H28+H29+H30+H31+H32+H33+H34+H35+H40</f>
        <v>5384.5413689999996</v>
      </c>
      <c r="I22" s="50"/>
    </row>
    <row r="23" spans="1:26" ht="15.75">
      <c r="A23" s="51" t="s">
        <v>44</v>
      </c>
      <c r="B23" s="52" t="s">
        <v>45</v>
      </c>
      <c r="C23" s="29" t="s">
        <v>17</v>
      </c>
      <c r="D23" s="53">
        <f t="shared" si="1"/>
        <v>775.02</v>
      </c>
      <c r="E23" s="54">
        <v>775.02</v>
      </c>
      <c r="F23" s="55"/>
      <c r="G23" s="31">
        <f t="shared" ref="G23:G41" si="2">H23+I23</f>
        <v>1167.1540199999999</v>
      </c>
      <c r="H23" s="56">
        <f>SUM(H24:H27)</f>
        <v>1167.1540199999999</v>
      </c>
      <c r="I23" s="55"/>
    </row>
    <row r="24" spans="1:26" ht="15.75">
      <c r="A24" s="57" t="s">
        <v>46</v>
      </c>
      <c r="B24" s="58" t="s">
        <v>47</v>
      </c>
      <c r="C24" s="38"/>
      <c r="D24" s="17"/>
      <c r="E24" s="59"/>
      <c r="F24" s="60"/>
      <c r="G24" s="41">
        <f t="shared" si="2"/>
        <v>48.405999999999999</v>
      </c>
      <c r="H24" s="61">
        <f>(15436+5970+27000)/1000</f>
        <v>48.405999999999999</v>
      </c>
      <c r="I24" s="60"/>
    </row>
    <row r="25" spans="1:26" ht="15.75">
      <c r="A25" s="57" t="s">
        <v>48</v>
      </c>
      <c r="B25" s="58" t="s">
        <v>49</v>
      </c>
      <c r="C25" s="38"/>
      <c r="D25" s="17"/>
      <c r="E25" s="59"/>
      <c r="F25" s="60"/>
      <c r="G25" s="41">
        <f t="shared" si="2"/>
        <v>749.33885999999995</v>
      </c>
      <c r="H25" s="61">
        <f>(549338.86+200000)/1000</f>
        <v>749.33885999999995</v>
      </c>
      <c r="I25" s="60"/>
    </row>
    <row r="26" spans="1:26" ht="15.75">
      <c r="A26" s="57" t="s">
        <v>50</v>
      </c>
      <c r="B26" s="58" t="s">
        <v>51</v>
      </c>
      <c r="C26" s="38"/>
      <c r="D26" s="17"/>
      <c r="E26" s="59"/>
      <c r="F26" s="60"/>
      <c r="G26" s="41">
        <f t="shared" si="2"/>
        <v>116</v>
      </c>
      <c r="H26" s="61">
        <f>(2600+3000+22500+2500+5000+20400+24000+27000+9000)/1000</f>
        <v>116</v>
      </c>
      <c r="I26" s="60"/>
      <c r="Z26" s="5" t="s">
        <v>52</v>
      </c>
    </row>
    <row r="27" spans="1:26" ht="15.75">
      <c r="A27" s="57" t="s">
        <v>53</v>
      </c>
      <c r="B27" s="58" t="s">
        <v>54</v>
      </c>
      <c r="C27" s="38"/>
      <c r="D27" s="17"/>
      <c r="E27" s="59"/>
      <c r="F27" s="60"/>
      <c r="G27" s="41">
        <f t="shared" si="2"/>
        <v>253.40916000000001</v>
      </c>
      <c r="H27" s="61">
        <f>(247966.1+5443.06)/1000</f>
        <v>253.40916000000001</v>
      </c>
      <c r="I27" s="60"/>
    </row>
    <row r="28" spans="1:26" ht="15.75">
      <c r="A28" s="51" t="s">
        <v>55</v>
      </c>
      <c r="B28" s="52" t="s">
        <v>56</v>
      </c>
      <c r="C28" s="29" t="s">
        <v>17</v>
      </c>
      <c r="D28" s="53">
        <f t="shared" si="1"/>
        <v>67.41</v>
      </c>
      <c r="E28" s="54">
        <v>67.41</v>
      </c>
      <c r="F28" s="55"/>
      <c r="G28" s="31">
        <f t="shared" si="2"/>
        <v>94.919121000000004</v>
      </c>
      <c r="H28" s="62">
        <f>(34504.58+70961.11)/1000*90%</f>
        <v>94.919121000000004</v>
      </c>
      <c r="I28" s="55"/>
    </row>
    <row r="29" spans="1:26" ht="15.75">
      <c r="A29" s="51" t="s">
        <v>57</v>
      </c>
      <c r="B29" s="52" t="s">
        <v>58</v>
      </c>
      <c r="C29" s="29" t="s">
        <v>17</v>
      </c>
      <c r="D29" s="53">
        <f t="shared" si="1"/>
        <v>129.81</v>
      </c>
      <c r="E29" s="63">
        <v>129.81</v>
      </c>
      <c r="F29" s="55"/>
      <c r="G29" s="31">
        <f t="shared" si="2"/>
        <v>129.6</v>
      </c>
      <c r="H29" s="62">
        <f>(7000+85000+24000+2000+19500+6500)/1000*90%</f>
        <v>129.6</v>
      </c>
      <c r="I29" s="55"/>
    </row>
    <row r="30" spans="1:26" ht="15.75">
      <c r="A30" s="51" t="s">
        <v>59</v>
      </c>
      <c r="B30" s="52" t="s">
        <v>60</v>
      </c>
      <c r="C30" s="29" t="s">
        <v>17</v>
      </c>
      <c r="D30" s="53">
        <f t="shared" si="1"/>
        <v>61.83</v>
      </c>
      <c r="E30" s="54">
        <v>61.83</v>
      </c>
      <c r="F30" s="55"/>
      <c r="G30" s="31">
        <f t="shared" si="2"/>
        <v>132.546663</v>
      </c>
      <c r="H30" s="62">
        <f>147274.07/1000*90%</f>
        <v>132.546663</v>
      </c>
      <c r="I30" s="55"/>
    </row>
    <row r="31" spans="1:26" ht="31.5">
      <c r="A31" s="51" t="s">
        <v>61</v>
      </c>
      <c r="B31" s="64" t="s">
        <v>62</v>
      </c>
      <c r="C31" s="29" t="s">
        <v>17</v>
      </c>
      <c r="D31" s="53">
        <f t="shared" si="1"/>
        <v>101.64</v>
      </c>
      <c r="E31" s="54">
        <v>101.64</v>
      </c>
      <c r="F31" s="55"/>
      <c r="G31" s="31">
        <f t="shared" si="2"/>
        <v>596.29844700000012</v>
      </c>
      <c r="H31" s="62">
        <f>(71203.89+100176+320176.44+14080+156917.5)/1000*90%</f>
        <v>596.29844700000012</v>
      </c>
      <c r="I31" s="55"/>
    </row>
    <row r="32" spans="1:26" ht="15.75">
      <c r="A32" s="51" t="s">
        <v>63</v>
      </c>
      <c r="B32" s="65" t="s">
        <v>64</v>
      </c>
      <c r="C32" s="29" t="s">
        <v>17</v>
      </c>
      <c r="D32" s="53">
        <f t="shared" si="1"/>
        <v>191.87</v>
      </c>
      <c r="E32" s="54">
        <v>191.87</v>
      </c>
      <c r="F32" s="55"/>
      <c r="G32" s="31">
        <f t="shared" si="2"/>
        <v>564.96315600000003</v>
      </c>
      <c r="H32" s="62">
        <f>(76850+13994.11+76038.05+135550.1+111566.95+213737.63)/1000*90%</f>
        <v>564.96315600000003</v>
      </c>
      <c r="I32" s="55"/>
    </row>
    <row r="33" spans="1:9" ht="15.75">
      <c r="A33" s="51" t="s">
        <v>65</v>
      </c>
      <c r="B33" s="65" t="s">
        <v>66</v>
      </c>
      <c r="C33" s="29" t="s">
        <v>17</v>
      </c>
      <c r="D33" s="53">
        <f t="shared" si="1"/>
        <v>1653.83</v>
      </c>
      <c r="E33" s="54">
        <v>1653.83</v>
      </c>
      <c r="F33" s="55"/>
      <c r="G33" s="31">
        <f t="shared" si="2"/>
        <v>1983.6093419999997</v>
      </c>
      <c r="H33" s="62">
        <f>(369347+1822920+11743.38)/1000*90%</f>
        <v>1983.6093419999997</v>
      </c>
      <c r="I33" s="55"/>
    </row>
    <row r="34" spans="1:9" ht="15.75">
      <c r="A34" s="51" t="s">
        <v>67</v>
      </c>
      <c r="B34" s="65" t="s">
        <v>68</v>
      </c>
      <c r="C34" s="29" t="s">
        <v>17</v>
      </c>
      <c r="D34" s="53">
        <f t="shared" si="1"/>
        <v>68.349999999999994</v>
      </c>
      <c r="E34" s="54">
        <v>68.349999999999994</v>
      </c>
      <c r="F34" s="66"/>
      <c r="G34" s="31">
        <f t="shared" si="2"/>
        <v>84.966149999999999</v>
      </c>
      <c r="H34" s="62">
        <f>(54049.98+30916.17)/1000</f>
        <v>84.966149999999999</v>
      </c>
      <c r="I34" s="55"/>
    </row>
    <row r="35" spans="1:9" ht="15.75">
      <c r="A35" s="51" t="s">
        <v>69</v>
      </c>
      <c r="B35" s="67" t="s">
        <v>70</v>
      </c>
      <c r="C35" s="29" t="s">
        <v>17</v>
      </c>
      <c r="D35" s="53">
        <f t="shared" si="1"/>
        <v>285.27</v>
      </c>
      <c r="E35" s="54">
        <v>285.27</v>
      </c>
      <c r="F35" s="55"/>
      <c r="G35" s="31">
        <f t="shared" si="2"/>
        <v>281.28581099999997</v>
      </c>
      <c r="H35" s="62">
        <f>H36+H38+H37+H39</f>
        <v>281.28581099999997</v>
      </c>
      <c r="I35" s="55"/>
    </row>
    <row r="36" spans="1:9" ht="31.5">
      <c r="A36" s="57" t="s">
        <v>71</v>
      </c>
      <c r="B36" s="37" t="s">
        <v>72</v>
      </c>
      <c r="C36" s="38"/>
      <c r="D36" s="17"/>
      <c r="E36" s="59"/>
      <c r="F36" s="60"/>
      <c r="G36" s="41">
        <f t="shared" si="2"/>
        <v>99.72</v>
      </c>
      <c r="H36" s="61">
        <f>110800/1000*90%</f>
        <v>99.72</v>
      </c>
      <c r="I36" s="60"/>
    </row>
    <row r="37" spans="1:9" ht="15.75">
      <c r="A37" s="57" t="s">
        <v>73</v>
      </c>
      <c r="B37" s="37" t="s">
        <v>74</v>
      </c>
      <c r="C37" s="38"/>
      <c r="D37" s="17"/>
      <c r="E37" s="59"/>
      <c r="F37" s="60"/>
      <c r="G37" s="41">
        <f>H37+I37</f>
        <v>87.065810999999997</v>
      </c>
      <c r="H37" s="61">
        <f>96739.79/1000*90%</f>
        <v>87.065810999999997</v>
      </c>
      <c r="I37" s="60"/>
    </row>
    <row r="38" spans="1:9" ht="31.5">
      <c r="A38" s="57" t="s">
        <v>75</v>
      </c>
      <c r="B38" s="37" t="s">
        <v>76</v>
      </c>
      <c r="C38" s="38"/>
      <c r="D38" s="17"/>
      <c r="E38" s="59"/>
      <c r="F38" s="60"/>
      <c r="G38" s="41">
        <f t="shared" si="2"/>
        <v>0</v>
      </c>
      <c r="H38" s="61"/>
      <c r="I38" s="60"/>
    </row>
    <row r="39" spans="1:9" ht="15.75">
      <c r="A39" s="57" t="s">
        <v>77</v>
      </c>
      <c r="B39" s="68" t="s">
        <v>78</v>
      </c>
      <c r="C39" s="38"/>
      <c r="D39" s="17"/>
      <c r="E39" s="59"/>
      <c r="F39" s="60"/>
      <c r="G39" s="41">
        <f t="shared" si="2"/>
        <v>94.5</v>
      </c>
      <c r="H39" s="61">
        <f>105000/1000*90%</f>
        <v>94.5</v>
      </c>
      <c r="I39" s="60"/>
    </row>
    <row r="40" spans="1:9" ht="15.75">
      <c r="A40" s="51" t="s">
        <v>79</v>
      </c>
      <c r="B40" s="52" t="s">
        <v>80</v>
      </c>
      <c r="C40" s="29" t="s">
        <v>17</v>
      </c>
      <c r="D40" s="53">
        <f t="shared" si="1"/>
        <v>361.07</v>
      </c>
      <c r="E40" s="69">
        <v>361.07</v>
      </c>
      <c r="F40" s="55"/>
      <c r="G40" s="31">
        <f t="shared" si="2"/>
        <v>349.19865899999996</v>
      </c>
      <c r="H40" s="62">
        <f>(386393.04+1605.47)/1000*90%</f>
        <v>349.19865899999996</v>
      </c>
      <c r="I40" s="55"/>
    </row>
    <row r="41" spans="1:9" ht="15.75">
      <c r="A41" s="70" t="s">
        <v>81</v>
      </c>
      <c r="B41" s="71" t="s">
        <v>82</v>
      </c>
      <c r="C41" s="32" t="s">
        <v>17</v>
      </c>
      <c r="D41" s="53">
        <f>E41</f>
        <v>624.11</v>
      </c>
      <c r="E41" s="69">
        <v>624.11</v>
      </c>
      <c r="F41" s="55"/>
      <c r="G41" s="72">
        <f t="shared" si="2"/>
        <v>535.34083999999996</v>
      </c>
      <c r="H41" s="56">
        <f>535340.84/1000</f>
        <v>535.34083999999996</v>
      </c>
      <c r="I41" s="55"/>
    </row>
    <row r="42" spans="1:9" ht="25.5" customHeight="1">
      <c r="A42" s="73"/>
      <c r="B42" s="74" t="s">
        <v>83</v>
      </c>
      <c r="C42" s="75" t="s">
        <v>17</v>
      </c>
      <c r="D42" s="76">
        <f t="shared" si="1"/>
        <v>62244.46</v>
      </c>
      <c r="E42" s="77">
        <f>E8+E11+E21+E22+E41</f>
        <v>62244.46</v>
      </c>
      <c r="F42" s="77"/>
      <c r="G42" s="78">
        <f>G8+G11+G21+G22+G41</f>
        <v>76721.264530000015</v>
      </c>
      <c r="H42" s="78">
        <f>H8+H11+H21+H22+H41</f>
        <v>76721.264530000015</v>
      </c>
      <c r="I42" s="77"/>
    </row>
    <row r="43" spans="1:9" ht="15.75">
      <c r="A43" s="57" t="s">
        <v>20</v>
      </c>
      <c r="B43" s="80" t="s">
        <v>84</v>
      </c>
      <c r="C43" s="38" t="s">
        <v>17</v>
      </c>
      <c r="D43" s="17"/>
      <c r="E43" s="59"/>
      <c r="F43" s="60"/>
      <c r="G43" s="41"/>
      <c r="H43" s="61"/>
      <c r="I43" s="60"/>
    </row>
    <row r="44" spans="1:9" ht="15.75">
      <c r="A44" s="57" t="s">
        <v>85</v>
      </c>
      <c r="B44" s="81" t="s">
        <v>86</v>
      </c>
      <c r="C44" s="38" t="s">
        <v>17</v>
      </c>
      <c r="D44" s="17">
        <f>E44</f>
        <v>142.6</v>
      </c>
      <c r="E44" s="59">
        <v>142.6</v>
      </c>
      <c r="F44" s="60"/>
      <c r="G44" s="41">
        <f>H44+I44</f>
        <v>5499.26847</v>
      </c>
      <c r="H44" s="61">
        <f>(5108299.59+390968.88)/1000</f>
        <v>5499.26847</v>
      </c>
      <c r="I44" s="60"/>
    </row>
    <row r="45" spans="1:9" ht="15.75">
      <c r="A45" s="57" t="s">
        <v>22</v>
      </c>
      <c r="B45" s="37" t="s">
        <v>87</v>
      </c>
      <c r="C45" s="38"/>
      <c r="D45" s="17">
        <f t="shared" ref="D45:D55" si="3">E45</f>
        <v>12655.48</v>
      </c>
      <c r="E45" s="59">
        <v>12655.48</v>
      </c>
      <c r="F45" s="60"/>
      <c r="G45" s="41">
        <f>H45+I45</f>
        <v>15710.83497</v>
      </c>
      <c r="H45" s="61">
        <f>(69442.08+10416330.32+18693.7+2770408.2+4181609)/1000*90%</f>
        <v>15710.83497</v>
      </c>
      <c r="I45" s="60"/>
    </row>
    <row r="46" spans="1:9" ht="15.75">
      <c r="A46" s="57" t="s">
        <v>24</v>
      </c>
      <c r="B46" s="37" t="s">
        <v>88</v>
      </c>
      <c r="C46" s="38"/>
      <c r="D46" s="17">
        <f t="shared" si="3"/>
        <v>28.77</v>
      </c>
      <c r="E46" s="59">
        <f>E47+E48+E49+E50</f>
        <v>28.77</v>
      </c>
      <c r="F46" s="60"/>
      <c r="G46" s="41">
        <f>G47+G48+G49+G50</f>
        <v>194.732</v>
      </c>
      <c r="H46" s="41">
        <f>H47+H48+H49+H50</f>
        <v>194.732</v>
      </c>
      <c r="I46" s="60"/>
    </row>
    <row r="47" spans="1:9" ht="15.75">
      <c r="A47" s="82" t="s">
        <v>89</v>
      </c>
      <c r="B47" s="58" t="s">
        <v>90</v>
      </c>
      <c r="C47" s="38"/>
      <c r="D47" s="17">
        <f t="shared" si="3"/>
        <v>0</v>
      </c>
      <c r="E47" s="59">
        <v>0</v>
      </c>
      <c r="F47" s="60"/>
      <c r="G47" s="41">
        <f>H47+I47</f>
        <v>0</v>
      </c>
      <c r="H47" s="61">
        <v>0</v>
      </c>
      <c r="I47" s="60"/>
    </row>
    <row r="48" spans="1:9" ht="15.75">
      <c r="A48" s="82" t="s">
        <v>91</v>
      </c>
      <c r="B48" s="58" t="s">
        <v>92</v>
      </c>
      <c r="C48" s="38"/>
      <c r="D48" s="17">
        <f t="shared" si="3"/>
        <v>28.77</v>
      </c>
      <c r="E48" s="59">
        <v>28.77</v>
      </c>
      <c r="F48" s="60"/>
      <c r="G48" s="41">
        <f>H48</f>
        <v>136.833</v>
      </c>
      <c r="H48" s="41">
        <f>136833/1000</f>
        <v>136.833</v>
      </c>
      <c r="I48" s="60"/>
    </row>
    <row r="49" spans="1:9" ht="15.75">
      <c r="A49" s="83" t="s">
        <v>93</v>
      </c>
      <c r="B49" s="84" t="s">
        <v>94</v>
      </c>
      <c r="C49" s="38"/>
      <c r="D49" s="17">
        <f t="shared" si="3"/>
        <v>0</v>
      </c>
      <c r="E49" s="59">
        <v>0</v>
      </c>
      <c r="F49" s="60"/>
      <c r="G49" s="41">
        <f>H49</f>
        <v>57.899000000000001</v>
      </c>
      <c r="H49" s="41">
        <f>57899/1000</f>
        <v>57.899000000000001</v>
      </c>
      <c r="I49" s="60"/>
    </row>
    <row r="50" spans="1:9" ht="15.75">
      <c r="A50" s="82" t="s">
        <v>95</v>
      </c>
      <c r="B50" s="58" t="s">
        <v>96</v>
      </c>
      <c r="C50" s="38"/>
      <c r="D50" s="17">
        <f t="shared" si="3"/>
        <v>0</v>
      </c>
      <c r="E50" s="59">
        <v>0</v>
      </c>
      <c r="F50" s="60"/>
      <c r="G50" s="41">
        <f>H50+I50</f>
        <v>0</v>
      </c>
      <c r="H50" s="61">
        <v>0</v>
      </c>
      <c r="I50" s="60"/>
    </row>
    <row r="51" spans="1:9" ht="15.75">
      <c r="A51" s="85" t="s">
        <v>26</v>
      </c>
      <c r="B51" s="58" t="s">
        <v>97</v>
      </c>
      <c r="C51" s="38"/>
      <c r="D51" s="17">
        <f t="shared" si="3"/>
        <v>2478.58</v>
      </c>
      <c r="E51" s="59">
        <v>2478.58</v>
      </c>
      <c r="F51" s="60"/>
      <c r="G51" s="41">
        <f>H51+I51</f>
        <v>6879.8444760000011</v>
      </c>
      <c r="H51" s="61">
        <f>(635593.2+699314.01+5104852.86+37723.91+1166787.66)/1000*90%</f>
        <v>6879.8444760000011</v>
      </c>
      <c r="I51" s="60"/>
    </row>
    <row r="52" spans="1:9" ht="15.75">
      <c r="A52" s="82" t="s">
        <v>28</v>
      </c>
      <c r="B52" s="58" t="s">
        <v>98</v>
      </c>
      <c r="C52" s="38"/>
      <c r="D52" s="17">
        <f t="shared" si="3"/>
        <v>0</v>
      </c>
      <c r="E52" s="59">
        <v>0</v>
      </c>
      <c r="F52" s="60"/>
      <c r="G52" s="41">
        <f>H52+I52</f>
        <v>0</v>
      </c>
      <c r="H52" s="61">
        <v>0</v>
      </c>
      <c r="I52" s="60"/>
    </row>
    <row r="53" spans="1:9" ht="15.75">
      <c r="A53" s="82" t="s">
        <v>30</v>
      </c>
      <c r="B53" s="58" t="s">
        <v>99</v>
      </c>
      <c r="C53" s="38"/>
      <c r="D53" s="17">
        <f t="shared" si="3"/>
        <v>0</v>
      </c>
      <c r="E53" s="59">
        <v>0</v>
      </c>
      <c r="F53" s="60"/>
      <c r="G53" s="41">
        <f>H53+I53</f>
        <v>0</v>
      </c>
      <c r="H53" s="61">
        <v>0</v>
      </c>
      <c r="I53" s="60"/>
    </row>
    <row r="54" spans="1:9" ht="24" customHeight="1">
      <c r="A54" s="86"/>
      <c r="B54" s="87" t="s">
        <v>100</v>
      </c>
      <c r="C54" s="79" t="s">
        <v>17</v>
      </c>
      <c r="D54" s="76">
        <f>D44+D45+D46+D51+D52+D53</f>
        <v>15305.43</v>
      </c>
      <c r="E54" s="77">
        <f>E44+E45+E46+E51+E52+E53</f>
        <v>15305.43</v>
      </c>
      <c r="F54" s="77"/>
      <c r="G54" s="78">
        <f>G44+G45+G46+G51+G52+G53</f>
        <v>28284.679916000001</v>
      </c>
      <c r="H54" s="78">
        <f>H44+H45+H46+H51+H52+H53</f>
        <v>28284.679916000001</v>
      </c>
      <c r="I54" s="88"/>
    </row>
    <row r="55" spans="1:9" ht="24" customHeight="1">
      <c r="A55" s="89"/>
      <c r="B55" s="90" t="s">
        <v>101</v>
      </c>
      <c r="C55" s="42"/>
      <c r="D55" s="17">
        <f t="shared" si="3"/>
        <v>-4302</v>
      </c>
      <c r="E55" s="17">
        <v>-4302</v>
      </c>
      <c r="F55" s="91"/>
      <c r="G55" s="92"/>
      <c r="H55" s="92"/>
      <c r="I55" s="93"/>
    </row>
    <row r="56" spans="1:9" ht="15.75">
      <c r="A56" s="94" t="s">
        <v>102</v>
      </c>
      <c r="B56" s="95" t="s">
        <v>103</v>
      </c>
      <c r="C56" s="96" t="s">
        <v>17</v>
      </c>
      <c r="D56" s="97">
        <f>E56</f>
        <v>73247.89</v>
      </c>
      <c r="E56" s="97">
        <f>E42+E54+E55</f>
        <v>73247.89</v>
      </c>
      <c r="F56" s="97"/>
      <c r="G56" s="98">
        <f>G42+G54</f>
        <v>105005.94444600001</v>
      </c>
      <c r="H56" s="98">
        <f>H42+H54</f>
        <v>105005.94444600001</v>
      </c>
      <c r="I56" s="99"/>
    </row>
    <row r="57" spans="1:9" ht="15.75">
      <c r="B57" s="2"/>
      <c r="C57" s="1"/>
      <c r="D57" s="3"/>
      <c r="E57" s="3"/>
      <c r="F57" s="1"/>
      <c r="G57" s="4"/>
      <c r="H57" s="4"/>
      <c r="I57" s="1"/>
    </row>
    <row r="58" spans="1:9" ht="15.75">
      <c r="B58" s="2"/>
      <c r="C58" s="1"/>
      <c r="D58" s="3"/>
      <c r="E58" s="3"/>
      <c r="F58" s="1"/>
      <c r="G58" s="4"/>
      <c r="H58" s="4"/>
      <c r="I58" s="1"/>
    </row>
    <row r="59" spans="1:9" ht="15.75">
      <c r="B59" s="2"/>
      <c r="C59" s="1"/>
      <c r="D59" s="3"/>
      <c r="E59" s="3"/>
      <c r="F59" s="1"/>
      <c r="G59" s="4"/>
      <c r="H59" s="4"/>
      <c r="I59" s="1"/>
    </row>
    <row r="60" spans="1:9" ht="39" customHeight="1">
      <c r="B60" s="100" t="s">
        <v>104</v>
      </c>
      <c r="C60" s="101"/>
      <c r="D60" s="102"/>
      <c r="E60" s="102"/>
      <c r="F60" s="114" t="s">
        <v>105</v>
      </c>
      <c r="G60" s="114"/>
      <c r="H60" s="4"/>
      <c r="I60" s="1"/>
    </row>
    <row r="61" spans="1:9" ht="15.75" customHeight="1">
      <c r="B61" s="103"/>
      <c r="C61" s="104"/>
      <c r="D61" s="102"/>
      <c r="E61" s="102"/>
      <c r="F61" s="1"/>
      <c r="G61" s="4"/>
      <c r="H61" s="4"/>
      <c r="I61" s="1"/>
    </row>
    <row r="62" spans="1:9" ht="15.75">
      <c r="B62" s="103"/>
      <c r="C62" s="104"/>
      <c r="D62" s="102"/>
      <c r="E62" s="102"/>
      <c r="F62" s="1"/>
      <c r="G62" s="4"/>
      <c r="H62" s="4"/>
      <c r="I62" s="1"/>
    </row>
    <row r="63" spans="1:9" ht="15.75" customHeight="1">
      <c r="B63" s="115"/>
      <c r="C63" s="115"/>
      <c r="D63" s="102"/>
      <c r="E63" s="102"/>
      <c r="F63" s="114"/>
      <c r="G63" s="114"/>
      <c r="H63" s="4"/>
      <c r="I63" s="1"/>
    </row>
    <row r="64" spans="1:9" ht="15.75">
      <c r="B64" s="2"/>
      <c r="C64" s="1"/>
      <c r="D64" s="3"/>
      <c r="E64" s="3"/>
      <c r="F64" s="1"/>
      <c r="G64" s="4"/>
      <c r="H64" s="4"/>
      <c r="I64" s="1"/>
    </row>
    <row r="66" spans="2:9" ht="15.75">
      <c r="B66" s="105"/>
      <c r="C66" s="106"/>
      <c r="D66" s="3"/>
      <c r="E66" s="3"/>
      <c r="F66" s="1"/>
      <c r="G66" s="4"/>
      <c r="H66" s="107"/>
      <c r="I66" s="1"/>
    </row>
    <row r="67" spans="2:9" ht="15.75">
      <c r="B67" s="116"/>
      <c r="C67" s="116"/>
      <c r="D67" s="3"/>
      <c r="E67" s="3"/>
      <c r="F67" s="1"/>
      <c r="G67" s="4"/>
      <c r="H67" s="4"/>
      <c r="I67" s="1"/>
    </row>
    <row r="68" spans="2:9" ht="15.75">
      <c r="B68" s="116"/>
      <c r="C68" s="116"/>
      <c r="D68" s="3"/>
      <c r="E68" s="3"/>
      <c r="F68" s="1"/>
      <c r="G68" s="4"/>
      <c r="H68" s="4"/>
      <c r="I68" s="1"/>
    </row>
    <row r="69" spans="2:9" ht="15.75">
      <c r="B69" s="108"/>
      <c r="C69" s="108"/>
      <c r="D69" s="3"/>
      <c r="E69" s="3"/>
      <c r="F69" s="1"/>
      <c r="G69" s="4"/>
      <c r="H69" s="4"/>
      <c r="I69" s="1"/>
    </row>
    <row r="70" spans="2:9">
      <c r="G70" s="110"/>
      <c r="H70" s="110"/>
    </row>
    <row r="71" spans="2:9">
      <c r="G71" s="110"/>
      <c r="H71" s="110"/>
    </row>
    <row r="72" spans="2:9">
      <c r="G72" s="110"/>
      <c r="H72" s="110"/>
    </row>
    <row r="75" spans="2:9">
      <c r="F75" s="111"/>
      <c r="H75" s="113"/>
      <c r="I75" s="26"/>
    </row>
  </sheetData>
  <mergeCells count="16">
    <mergeCell ref="H1:I1"/>
    <mergeCell ref="A2:I2"/>
    <mergeCell ref="A4:A6"/>
    <mergeCell ref="B4:B6"/>
    <mergeCell ref="C4:C6"/>
    <mergeCell ref="D4:F4"/>
    <mergeCell ref="G4:I4"/>
    <mergeCell ref="B68:C68"/>
    <mergeCell ref="D5:D6"/>
    <mergeCell ref="E5:F5"/>
    <mergeCell ref="G5:G6"/>
    <mergeCell ref="H5:I5"/>
    <mergeCell ref="F60:G60"/>
    <mergeCell ref="B63:C63"/>
    <mergeCell ref="F63:G63"/>
    <mergeCell ref="B67:C6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2018-04-01T22:58:59Z</dcterms:created>
  <dcterms:modified xsi:type="dcterms:W3CDTF">2018-04-01T22:59:53Z</dcterms:modified>
</cp:coreProperties>
</file>